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2"/>
  </bookViews>
  <sheets>
    <sheet name="MEMÓRIA " sheetId="1" r:id="rId1"/>
    <sheet name="PLANILHA TOTAL" sheetId="2" r:id="rId2"/>
    <sheet name="Cronograma " sheetId="3" r:id="rId3"/>
  </sheets>
  <externalReferences>
    <externalReference r:id="rId6"/>
    <externalReference r:id="rId7"/>
    <externalReference r:id="rId8"/>
    <externalReference r:id="rId9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XTRACT" localSheetId="2">'Cronograma '!#REF!</definedName>
    <definedName name="_xlnm.Print_Area" localSheetId="2">'Cronograma '!$A$1:$E$19</definedName>
    <definedName name="_xlnm.Print_Area" localSheetId="0">'MEMÓRIA '!$A$1:$G$125</definedName>
    <definedName name="_xlnm.Print_Area" localSheetId="1">'PLANILHA TOTAL'!$A$1:$I$27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2">'Cronograma '!#REF!</definedName>
    <definedName name="pc">#REF!</definedName>
    <definedName name="_xlnm.Print_Titles" localSheetId="2">'Cronograma '!$10:$12</definedName>
    <definedName name="_xlnm.Print_Titles" localSheetId="0">'MEMÓRIA '!$9:$11</definedName>
    <definedName name="_xlnm.Print_Titles" localSheetId="1">'PLANILHA TOTAL'!$1:$11</definedName>
  </definedNames>
  <calcPr fullCalcOnLoad="1"/>
</workbook>
</file>

<file path=xl/sharedStrings.xml><?xml version="1.0" encoding="utf-8"?>
<sst xmlns="http://schemas.openxmlformats.org/spreadsheetml/2006/main" count="450" uniqueCount="218">
  <si>
    <t>M2</t>
  </si>
  <si>
    <t>M3</t>
  </si>
  <si>
    <t>TOTAL</t>
  </si>
  <si>
    <t>1.1</t>
  </si>
  <si>
    <t>1.2</t>
  </si>
  <si>
    <t>1.3</t>
  </si>
  <si>
    <t>1.4</t>
  </si>
  <si>
    <t>1.5</t>
  </si>
  <si>
    <t>UN</t>
  </si>
  <si>
    <t>1.0</t>
  </si>
  <si>
    <t>SERVIÇOS PRELIMINARES</t>
  </si>
  <si>
    <t>3.0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</si>
  <si>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</si>
  <si>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</si>
  <si>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</si>
  <si>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ITEM</t>
  </si>
  <si>
    <t>CODIGO EMOP/ SINAPI</t>
  </si>
  <si>
    <t>DISCRIMINAÇÃO</t>
  </si>
  <si>
    <t>1.6</t>
  </si>
  <si>
    <t>T</t>
  </si>
  <si>
    <t>T X KM</t>
  </si>
  <si>
    <t>QUANT.</t>
  </si>
  <si>
    <t>PREÇOS (R$)</t>
  </si>
  <si>
    <t>UNIT</t>
  </si>
  <si>
    <t>SUB-TOTAL 1.0=</t>
  </si>
  <si>
    <t>TOTAL GERAL =</t>
  </si>
  <si>
    <t>KG</t>
  </si>
  <si>
    <t>H</t>
  </si>
  <si>
    <t>CHI</t>
  </si>
  <si>
    <t>CHP</t>
  </si>
  <si>
    <t>00149</t>
  </si>
  <si>
    <t>SERVENTE COM ENCARGOS COMPLEMENTARES</t>
  </si>
  <si>
    <t>ENCARGOS SOCIAIS SOBRE PREÇOS DA MÃO-DE-OBRA: 120,30%(HORA) 75,07%(MÊS)</t>
  </si>
  <si>
    <t>01999</t>
  </si>
  <si>
    <t>MAO-DE-OBRA DE SERVENTE DA CONSTRUCAO CIVIL, INCLUSIVE ENCARGOS SOCIAIS</t>
  </si>
  <si>
    <t xml:space="preserve">UNIT </t>
  </si>
  <si>
    <t>MEMÓRIA DE CÁLCULO ( ONERADA)</t>
  </si>
  <si>
    <t>UNID.</t>
  </si>
  <si>
    <t>APROVAÇÃO: Eng. Eros dos Santos</t>
  </si>
  <si>
    <t>Orçamentista: Eng. Alfredo Antonio Nicolau M. Cunha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</si>
  <si>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</si>
  <si>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</si>
  <si>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</si>
  <si>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</si>
  <si>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</si>
  <si>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</si>
  <si>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</si>
  <si>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</si>
  <si>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</si>
  <si>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</si>
  <si>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</si>
  <si>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</si>
  <si>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UNIT COM BDI</t>
  </si>
  <si>
    <t>TOTAL COM BDI</t>
  </si>
  <si>
    <r>
      <t>Secretaria Municipal de Planejamento Urbano</t>
    </r>
    <r>
      <rPr>
        <sz val="26"/>
        <color indexed="8"/>
        <rFont val="Arial"/>
        <family val="2"/>
      </rPr>
      <t xml:space="preserve"> </t>
    </r>
  </si>
  <si>
    <t>TARIFA "A" ENTRE  0 E 20M3 FORNECIMENTO D'AGUA</t>
  </si>
  <si>
    <t>PORTA DENTE PARA FRESADORA</t>
  </si>
  <si>
    <t>DENTE PARA FRESADORA</t>
  </si>
  <si>
    <t>APOIO DO PORTA DENTE PARA FRESADORA DE ASFALTO</t>
  </si>
  <si>
    <t>ADOTADO PREÇO EMOP 05.022.0018-0</t>
  </si>
  <si>
    <t xml:space="preserve">TOTAL </t>
  </si>
  <si>
    <t>CIMENTO PORTLAND CP II 32, EM SACO DE 50KG</t>
  </si>
  <si>
    <t>LEVANTAMENTO: ENGº JOÃO VITOR DA SILVA RAMOS</t>
  </si>
  <si>
    <t>REVESTIMENTO EM CONCRETO BETUMINOSO USINADO A QUENTE,DE GRANULOMETRIA ABERTA,TIPO "BINDER",DE ACORDO COM AS "INSTRUCOES PARA EXECUCAO",DO DER-RJ,COMPREENDENDO:PREPARO,ESPALHAMENTOE COMPACTACAO,EXCLUSIVE O FORNECIMENTO E TRANSPORTE DOS MATE RIAIS (OBS.:3%-DESGASTE DE FERRAMENTAS E EPI).</t>
  </si>
  <si>
    <t>CONCRETO BETUMINOSO USINADO A QUENTE.PREPARO E FORNECIMENTO (OBS.:3%-DESGASTE DE FERRAMENTAS E EPI).</t>
  </si>
  <si>
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</t>
  </si>
  <si>
    <t>PLANILHA GERAL</t>
  </si>
  <si>
    <t>0014583</t>
  </si>
  <si>
    <t>SI00000088316</t>
  </si>
  <si>
    <t>0025969</t>
  </si>
  <si>
    <t>0025968</t>
  </si>
  <si>
    <t>0025967</t>
  </si>
  <si>
    <t>SI00000096158</t>
  </si>
  <si>
    <t>SI00000096158 MINICARREGADEIRA SOBRE RODAS POTENCIA 47HP CAPACIDADE OPERACAO 646 KG, COM VASSOURA MECÂNICA ACOPLADA - CHP DIURNO. AF_03/2017</t>
  </si>
  <si>
    <t>SI00000096156</t>
  </si>
  <si>
    <t>SI00000096156 MINICARREGADEIRA SOBRE RODAS POTENCIA 47HP CAPACIDADE OPERACAO 646 KG, COM VASSOURA MECÂNICA ACOPLADA - CHI DIURNO. AF_03/2017</t>
  </si>
  <si>
    <t>SI00000089235</t>
  </si>
  <si>
    <t>SI00000089235 FRESADORA DE ASFALTO A FRIO SOBRE RODAS, LARGURA FRESAGEM DE 1,0 M, POTÊNCIA 208 HP - CHI DIURNO. AF_11/2014</t>
  </si>
  <si>
    <t>SI00000089234</t>
  </si>
  <si>
    <t>SI00000089234 FRESADORA DE ASFALTO A FRIO SOBRE RODAS, LARGURA FRESAGEM DE 1,0 M, POTÊNCIA 208 HP - CHP DIURNO. AF_11/2014</t>
  </si>
  <si>
    <t>SI00000006259</t>
  </si>
  <si>
    <t>SI00000006259 CAMINHÃO PIPA 6.000 L, PESO BRUTO TOTAL 13.000 KG, DISTÂNCIA ENTRE EIXOS 4,80 M, POTÊNCIA 189 CV INCLUSIVE TANQUE DE AÇO PARA TRANSPORTE DE ÁGUA, CAPACIDADE 6 M3 - CHP DIURNO. AF_06/2014</t>
  </si>
  <si>
    <t>SI00000005811</t>
  </si>
  <si>
    <t>SI00000005811 CAMINHÃO BASCULANTE 6 M3, PESO BRUTO TOTAL 16.000 KG, CARGA ÚTIL MÁXIMA 13.071 KG, DISTÂNCIA ENTRE EIXOS 4,80 M, POTÊNCIA 230 CV INCLUSIVE CAÇAMBA METÁLICA - CHP DIURNO. AF_06/2014</t>
  </si>
  <si>
    <t>14574</t>
  </si>
  <si>
    <t>PO DE PEDRA, PARA REGIAO METROPOLITANA DO RIO DE JANEIRO</t>
  </si>
  <si>
    <t>14541</t>
  </si>
  <si>
    <t>BRITA 0, PARA REGIAO METROPOLITANA DO RIO DE JANEIRO</t>
  </si>
  <si>
    <t>00007</t>
  </si>
  <si>
    <t>CIMENTO ASFALTICO DE PETROLEO, CAP 50/70, A GRANEL</t>
  </si>
  <si>
    <t>Serviço :Pavimentação, Recapeamento e Tepa-Buracos</t>
  </si>
  <si>
    <t>PAVIMENTAÇÃO E TAPA BURACO</t>
  </si>
  <si>
    <t>Data-Base:   EMOP -  RJ / SINAPI - Onerado - Base Fev-2020</t>
  </si>
  <si>
    <t>SI00000096001</t>
  </si>
  <si>
    <t>FRESAGEM DE PAVIMENTO ASFÁLTICO (PROFUNDIDADE ATÉ 5,0 CM) - EXCLUSIVE TRANSPORTE. AF_11/2019</t>
  </si>
  <si>
    <t>20.009.0012-0</t>
  </si>
  <si>
    <t>01820</t>
  </si>
  <si>
    <t>19.006.0006-4 ROLO ESTATICO DE 7 RODAS,AUTOPROPELIDO,99 HP (CI)</t>
  </si>
  <si>
    <t>01818</t>
  </si>
  <si>
    <t>19.006.0006-2 ROLO ESTATICO DE 7 RODAS,AUTOPROPELIDO,99 HP (CP)</t>
  </si>
  <si>
    <t>01080</t>
  </si>
  <si>
    <t>19.006.0019-4 VIBROACABADORA ASF., DIESEL 69CV (CI)</t>
  </si>
  <si>
    <t>01078</t>
  </si>
  <si>
    <t>19.006.0019-2 VIBROACABADORA ASF., DIESEL 69CV (CP)</t>
  </si>
  <si>
    <t>01057</t>
  </si>
  <si>
    <t>19.006.0011-2 USINA P/MIST.BETUM.QUENTE P/60A90T/H(CP)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</si>
  <si>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</si>
  <si>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</si>
  <si>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</si>
  <si>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</si>
  <si>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20.100.0005-0</t>
  </si>
  <si>
    <t>01979</t>
  </si>
  <si>
    <t>MAO-DE-OBRA DE LABORATORISTA DE SOLOS A,INCLUSIVE ENCARGOS SOCIAIS</t>
  </si>
  <si>
    <t>01257</t>
  </si>
  <si>
    <t>19.005.0030-4 PA CARREGADEIRA,MOTOR DIESEL 100CV,CAPACIDADE RASA 1,3M3 (CI)</t>
  </si>
  <si>
    <t>01255</t>
  </si>
  <si>
    <t>19.005.0030-2 PA CARREGADEIRA,MOTOR DIESEL 100CV,CAPACIDADE RASA 1,3M3 (CP)</t>
  </si>
  <si>
    <t>04.011.0051-1</t>
  </si>
  <si>
    <t>02028</t>
  </si>
  <si>
    <t>19.004.0012-4 CAMINHAO BASCUL. NO TOCO, 5M3 (CI)</t>
  </si>
  <si>
    <t>02026</t>
  </si>
  <si>
    <t>19.004.0012-2 CAMINHAO BASCUL. NO TOCO, 5M3 (CP)</t>
  </si>
  <si>
    <t>Data-Base:   EMOP -  RJ / SINAPI e SCO-RJ- Onerado - Base Fevereiro-2020</t>
  </si>
  <si>
    <t>So00000088316</t>
  </si>
  <si>
    <t>So00000089877</t>
  </si>
  <si>
    <t>So00000089877 CAMINHÃO BASCULANTE 14 M3, COM CAVALO MECÂNICO DE CAPACIDADE MÁXIMA DE TRAÇÃO COMBINADO DE 36000 KG, POTÊNCIA 286 CV, INCLUSIVE SEMIREBOQUE COM CAÇAMBA METÁLICA - CHI DIURNO. AF_12/2014</t>
  </si>
  <si>
    <t>So00000089876</t>
  </si>
  <si>
    <t>So00000089876 CAMINHÃO BASCULANTE 14 M3, COM CAVALO MECÂNICO DE CAPACIDADE MÁXIMA DE TRAÇÃO COMBINADO DE 36000 KG, POTÊNCIA 286 CV, INCLUSIVE SEMIREBOQUE COM CAÇAMBA METÁLICA - CHP DIURNO. AF_12/2014</t>
  </si>
  <si>
    <t>So00000093599</t>
  </si>
  <si>
    <t>TRANSPORTE COM CAMINHÃO BASCULANTE DE 14 M3, EM VIA URBANA PAVIMENTADA, DMT ACIMA DE 30 KM (UNIDADE: TXKM). AF_04/2016</t>
  </si>
  <si>
    <t>TXKM</t>
  </si>
  <si>
    <t>08.003.0010-0</t>
  </si>
  <si>
    <t>BASE DE AGREGADO SIDERURGICO(ESCORIA DE ACIARIA),INCLUSIVE FORNECIMENTO DOS MATERIAIS,MEDIDA APOS A COMPACTACAO (OBS.:3%-DESGASTE DE FERRAMENTAS E EPI).</t>
  </si>
  <si>
    <t>13636</t>
  </si>
  <si>
    <t>ESCORIA DE ACIARIA, Nø 2, EXCLUSIVE TRANSPORTE</t>
  </si>
  <si>
    <t>03397</t>
  </si>
  <si>
    <t>04.018.0020-1 RECEBIMENTO/CARGA/DESC.CAMINHAO 8 A 12M3</t>
  </si>
  <si>
    <t>02002</t>
  </si>
  <si>
    <t>04.005.0143-1 TRANSPORTE CARGA CAMINHAO 12T, 30KM/H</t>
  </si>
  <si>
    <t>01165</t>
  </si>
  <si>
    <t>19.006.0018-2 ESPALHADOR DE AGREGADOS, 1,3M3 (CP)</t>
  </si>
  <si>
    <t>01027</t>
  </si>
  <si>
    <t>19.006.0005-4 ROLO VIBRATORIO LISO 7T 76,5HP (CI)</t>
  </si>
  <si>
    <t>01025</t>
  </si>
  <si>
    <t>19.006.0005-2 ROLO VIBRATORIO LISO 7T 76,5HP (CP)</t>
  </si>
  <si>
    <t>01012</t>
  </si>
  <si>
    <t>19.004.0020-4 CAMINHAO TANQUE 6000L (CI)</t>
  </si>
  <si>
    <t>01010</t>
  </si>
  <si>
    <t>19.004.0020-2 CAMINHAO TANQUE 6000L (CP)</t>
  </si>
  <si>
    <t>03.016.0005-1</t>
  </si>
  <si>
    <t>ESCAVACAO MECANICA DE VALA NAO ESCORADA EM MATERIAL DE 1¦CATEGORIA COM PEDRAS,INSTALACOES PREDIAIS OU OUTROS REDUTORES D E PRODUTIVIDADE OU CAVAS DE FUNDACAO,ATE 1,50M DE PROFUNDIDADE,UTILIZANDO RETRO-ESCAVADEIRA,EXCLUSIVE ESGOTAMENTO</t>
  </si>
  <si>
    <t>01862</t>
  </si>
  <si>
    <t>19.005.0028-4 RETRO-ESCAVADEIRA,MOTOR DIESEL 75CV (CI)</t>
  </si>
  <si>
    <t>01860</t>
  </si>
  <si>
    <t>19.005.0028-2 RETRO-ESCAVADEIRA,MOTOR DIESEL 75CV (CP)</t>
  </si>
  <si>
    <t>04.005.0161-0</t>
  </si>
  <si>
    <t>TRANSPORTE DE CARGA DE QUALQUER NATUREZA,EXCLUSIVE AS DESPESAS DE CARGA E DESCARGA,TANTO DE ESPERA DO CAMINHAO COMO DO S ERVENTE OU EQUIPAMENTO AUXILIAR,A VELOCIDADE MEDIA DE 40KM/H,EM CAMINHAO BASCULANTE A OLEO DIESEL,COM CAPACIDADE UTIL DE 17T</t>
  </si>
  <si>
    <t>02180</t>
  </si>
  <si>
    <t>19.004.0016-2 CAMINHAO BASCUL. MEDIO/PESADO 12M3 (CP)</t>
  </si>
  <si>
    <t>So00000100577</t>
  </si>
  <si>
    <t>REGULARIZAÇÃO E COMPACTAÇÃO DE SUBLEITO DE SOLO PREDOMINANTEMENTE ARENOSO. AF_11/2019</t>
  </si>
  <si>
    <t>So00000096464</t>
  </si>
  <si>
    <t>So00000096464 ROLO COMPACTADOR DE PNEUS, ESTATICO, PRESSAO VARIAVEL, POTENCIA 110 HP, PESO SEM/COM LASTRO 10,8/27 T, LARGURA DE ROLAGEM 2,30 M - CHI DIURNO. AF_06/2017</t>
  </si>
  <si>
    <t>So00000096463</t>
  </si>
  <si>
    <t>So00000096463 ROLO COMPACTADOR DE PNEUS, ESTATICO, PRESSAO VARIAVEL, POTENCIA 110 HP, PESO SEM/COM LASTRO 10,8/27 T, LARGURA DE ROLAGEM 2,30 M - CHP DIURNO. AF_06/2017</t>
  </si>
  <si>
    <t>So00000005934</t>
  </si>
  <si>
    <t>So00000005934 MOTONIVELADORA POTÊNCIA BÁSICA LÍQUIDA (PRIMEIRA MARCHA) 125 HP, PESO BRUTO 13032 KG, LARGURA DA LÂMINA DE 3,7 M - CHI DIURNO. AF_06/2014</t>
  </si>
  <si>
    <t>So00000005932</t>
  </si>
  <si>
    <t>So00000005932 MOTONIVELADORA POTÊNCIA BÁSICA LÍQUIDA (PRIMEIRA MARCHA) 125 HP, PESO BRUTO 13032 KG, LARGURA DA LÂMINA DE 3,7 M - CHP DIURNO. AF_06/2014</t>
  </si>
  <si>
    <t>So00000005903</t>
  </si>
  <si>
    <t>So00000005903 CAMINHÃO PIPA 10.000 L TRUCADO, PESO BRUTO TOTAL 23.000 KG, CARGA ÚTIL MÁXIMA 15.935 KG, DISTÂNCIA ENTRE EIXOS 4,8 M, POTÊNCIA 230 CV, INCLUSIVE TANQUE DE AÇO PARA TRANSPORTE DE ÁGUA - CHI DIURNO. AF_06/2014</t>
  </si>
  <si>
    <t>So00000005901</t>
  </si>
  <si>
    <t>So00000005901 CAMINHÃO PIPA 10.000 L TRUCADO, PESO BRUTO TOTAL 23.000 KG, CARGA ÚTIL MÁXIMA 15.935 KG, DISTÂNCIA ENTRE EIXOS 4,8 M, POTÊNCIA 230 CV, INCLUSIVE TANQUE DE AÇO PARA TRANSPORTE DE ÁGUA - CHP DIURNO. AF_06/2014</t>
  </si>
  <si>
    <t>1.7</t>
  </si>
  <si>
    <t>1.8</t>
  </si>
  <si>
    <t>1.9</t>
  </si>
  <si>
    <t>1.10</t>
  </si>
  <si>
    <t>1.11</t>
  </si>
  <si>
    <r>
  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 - (</t>
    </r>
    <r>
      <rPr>
        <b/>
        <sz val="12"/>
        <color indexed="8"/>
        <rFont val="Arial"/>
        <family val="2"/>
      </rPr>
      <t>ARRANCAMENTO DE PARALELEPÍPEDOS)</t>
    </r>
  </si>
  <si>
    <t>Local:  DIVERSAS RUAS DO BAIRRO BOCAININHA</t>
  </si>
  <si>
    <t>TRANSPORTE DE CARGA DE QUALQUER NATUREZA,EXCLUSIVE AS DESPESAS DE CARGA E DESCARGA,TANTO DE ESPERA DO CAMINHAO COMO DO S ERVENTE OU EQUIPAMENTO AUXILIAR,A VELOCIDADE MEDIA DE 40KM/H,EM CAMINHAO BASCULANTE A OLEO DIESEL,COM CAPACIDADE UTIL DE 17T --- DMT = 7,3 km até Bota-Fora</t>
  </si>
  <si>
    <t>CARGA E DESCARGA MECANICA,COM PA-CARREGADEIRA,COM 1,30M3 DE CAPACIDADE,UTILIZANDO CAMINHAO BASCULANTE A OLEO DIESEL,COM CAPACIDADE UTIL DE 8T,CONSIDERADOS PARA O CAMINHAO OS TEMPOSDE ESPERA,MANOBRA,CARGA E DESCARGA E PARA A CARREGADEIRA OS TEMPOS DE ESPERA E OPERACAO PARA CARGAS DE 50T POR DIA DE 8H - (ARRANCAMENTO DE PARALELEPÍPEDOS)</t>
  </si>
  <si>
    <t>1.12</t>
  </si>
  <si>
    <t>1.13</t>
  </si>
  <si>
    <t>04.005.0141-0</t>
  </si>
  <si>
    <t>TRANSPORTE DE CARGA DE QUALQUER NATUREZA,EXCLUSIVE AS DESPESAS DE CARGA E DESCARGA,TANTO DE ESPERA DO CAMINHAO COMO DO S ERVENTE OU EQUIPAMENTO AUXILIAR,A VELOCIDADE MEDIA DE 40KM/H,EM CAMINHAO BASCULANTE A OLEO DIESEL,COM CAPACIDADE UTIL DE 12T</t>
  </si>
  <si>
    <t>01267</t>
  </si>
  <si>
    <t>19.004.0014-2 CAMINHAO BASCUL. NO TOCO 8 A 10M3 (CP)</t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</si>
  <si>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12T </t>
    </r>
    <r>
      <rPr>
        <b/>
        <sz val="12"/>
        <rFont val="Arial"/>
        <family val="2"/>
      </rPr>
      <t>DMT= 6,3 KM ATÉ USINA NO SÃO LUIZ</t>
    </r>
  </si>
  <si>
    <t>So00000096402</t>
  </si>
  <si>
    <t>EXECUÇÃO DE PINTURA DE LIGAÇÃO COM EMULSÃO ASFÁLTICA RR-2C. AF_11/2019</t>
  </si>
  <si>
    <t>So00000091486</t>
  </si>
  <si>
    <t>So00000091486 ESPARGIDOR DE ASFALTO PRESSURIZADO, TANQUE 6 M3 COM ISOLAÇÃO TÉRMICA, AQUECIDO COM 2 MAÇARICOS, COM BARRA ESPARGIDORA 3,60 M, MONTADO SOBRE CAMINHÃO  TOCO, PBT 14.300 KG, POTÊNCIA 185 CV - CHI DIURNO. AF_08/2015</t>
  </si>
  <si>
    <t>So00000089036</t>
  </si>
  <si>
    <t>So00000089036 TRATOR DE PNEUS, POTÊNCIA 85 CV, TRAÇÃO 4X4, PESO COM LASTRO DE 4.675 KG - CHI DIURNO. AF_06/2014</t>
  </si>
  <si>
    <t>So00000089035</t>
  </si>
  <si>
    <t>So00000089035 TRATOR DE PNEUS, POTÊNCIA 85 CV, TRAÇÃO 4X4, PESO COM LASTRO DE 4.675 KG - CHP DIURNO. AF_06/2014</t>
  </si>
  <si>
    <t>So00000083362</t>
  </si>
  <si>
    <t>So00000083362 ESPARGIDOR DE ASFALTO PRESSURIZADO, TANQUE 6 M3 COM ISOLAÇÃO TÉRMICA, AQUECIDO COM 2 MAÇARICOS, COM BARRA ESPARGIDORA 3,60 M, MONTADO SOBRE CAMINHÃO  TOCO, PBT 14.300 KG, POTÊNCIA 185 CV - CHP DIURNO. AF_08/2015</t>
  </si>
  <si>
    <t>So00000005841</t>
  </si>
  <si>
    <t>So00000005841 VASSOURA MECÂNICA REBOCÁVEL COM ESCOVA CILÍNDRICA, LARGURA ÚTIL DE VARRIMENTO DE 2,44 M - CHI DIURNO. AF_06/2014</t>
  </si>
  <si>
    <t>So00000005839</t>
  </si>
  <si>
    <t>So00000005839 VASSOURA MECÂNICA REBOCÁVEL COM ESCOVA CILÍNDRICA, LARGURA ÚTIL DE VARRIMENTO DE 2,44 M - CHP DIURNO. AF_06/2014</t>
  </si>
  <si>
    <t>So0041905</t>
  </si>
  <si>
    <t>EMULSAO ASFALTICA CATIONICA RR-1C PARA USO EM PAVIMENTACAO ASFALTICA (COLETADO CAIXA NA ANP ACRESCIDO DE ICMS)</t>
  </si>
  <si>
    <t>So00000096402 alterado</t>
  </si>
  <si>
    <t>EXECUÇÃO DE PINTURA DE LIGAÇÃO COM EMULSÃO ASFÁLTICA RR-1C. AF_11/2019</t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</si>
  <si>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12T </t>
    </r>
    <r>
      <rPr>
        <b/>
        <sz val="24"/>
        <color indexed="8"/>
        <rFont val="Arial"/>
        <family val="2"/>
      </rPr>
      <t>DMT= 6,3 KM ATÉ USINA NO SÃO LUIZ</t>
    </r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</si>
  <si>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17T --- </t>
    </r>
    <r>
      <rPr>
        <b/>
        <sz val="24"/>
        <color indexed="8"/>
        <rFont val="Arial"/>
        <family val="2"/>
      </rPr>
      <t>DMT = 7,3 km até Bota-Fora</t>
    </r>
  </si>
  <si>
    <t>04.005.0121-0</t>
  </si>
  <si>
    <t>TRANSPORTE DE CARGA DE QUALQUER NATUREZA,EXCLUSIVE AS DESPESAS DE CARGA E DESCARGA,TANTO DE ESPERA DO CAMINHAO COMO DO S ERVENTE OU EQUIPAMENTO AUXILIAR,A VELOCIDADE MEDIA DE 40KM/H,EM CAMINHAO BASCULANTE A OLEO DIESEL,COM CAPACIDADE UTIL DE 8T</t>
  </si>
  <si>
    <r>
      <t xml:space="preserve">TRANSPORTE DE CARGA DE QUALQUER NATUREZA,EXCLUSIVE AS DESPESAS DE CARGA E DESCARGA,TANTO DE ESPERA DO CAMINHAO COMO DO S ERVENTE OU EQUIPAMENTO AUXILIAR,A VELOCIDADE MEDIA DE 40KM/H,EM CAMINHAO BASCULANTE A OLEO DIESEL,COM CAPACIDADE UTIL DE 8T- </t>
    </r>
    <r>
      <rPr>
        <b/>
        <sz val="12"/>
        <rFont val="Arial"/>
        <family val="2"/>
      </rPr>
      <t>DMT= 6,3 KM (fresa até USINA de ASFALTO NO SÃO LUIÍZ)</t>
    </r>
  </si>
  <si>
    <t>TRANSPORTE DE CARGA DE QUALQUER NATUREZA,EXCLUSIVE AS DESPESAS DE CARGA E DESCARGA,TANTO DE ESPERA DO CAMINHAO COMO DO S ERVENTE OU EQUIPAMENTO AUXILIAR,A VELOCIDADE MEDIA DE 40KM/H,EM CAMINHAO BASCULANTE A OLEO DIESEL,COM CAPACIDADE UTIL DE 8T- DMT= 6,3 KM (fresa até USINA de ASFALTO NO SÃO LUIÍZ)</t>
  </si>
  <si>
    <t>ORÇAMENTO Nº 011/2020</t>
  </si>
  <si>
    <t>Serviço :Pavimentação, Recapeamento e Tapa-Buracos</t>
  </si>
  <si>
    <t>PROJETO: ENGº JOÃO VITOR DA SILVA RAMOS</t>
  </si>
  <si>
    <t>DATA:10/07/2020 - REVISÃO 001</t>
  </si>
  <si>
    <t>ORÇAMENTO:  ENGº JOÃO VITOR DA SILVA RAMOS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</si>
</sst>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#,##0.000"/>
    <numFmt numFmtId="181" formatCode="0.000"/>
    <numFmt numFmtId="182" formatCode="0.0"/>
    <numFmt numFmtId="183" formatCode="0.0000"/>
    <numFmt numFmtId="184" formatCode="0.00000"/>
    <numFmt numFmtId="185" formatCode="00#"/>
    <numFmt numFmtId="186" formatCode="_ * #,##0.00_ ;_ * \-#,##0.00_ ;_ * \-??_ ;_ @_ "/>
    <numFmt numFmtId="187" formatCode="_-* #,##0.00_-;\-* #,##0.00_-;_-* \-??_-;_-@_-"/>
    <numFmt numFmtId="188" formatCode="#,##0.0000_ ;\-#,##0.0000\ "/>
    <numFmt numFmtId="189" formatCode="_ * #,##0.00_ ;_ * \-#,##0.00_ ;_ * &quot;-&quot;??_ ;_ @_ "/>
    <numFmt numFmtId="190" formatCode="0.000%"/>
    <numFmt numFmtId="191" formatCode="0.0000%"/>
    <numFmt numFmtId="192" formatCode="_(&quot;R$ &quot;* #,##0.00_);_(&quot;R$ &quot;* \(#,##0.00\);_(&quot;R$ &quot;* &quot;-&quot;??_);_(@_)"/>
    <numFmt numFmtId="193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0"/>
      <name val="Switzerland"/>
      <family val="0"/>
    </font>
    <font>
      <sz val="20"/>
      <name val="Arial"/>
      <family val="2"/>
    </font>
    <font>
      <sz val="11"/>
      <name val="Switzerland"/>
      <family val="0"/>
    </font>
    <font>
      <sz val="18"/>
      <name val="Switzerland"/>
      <family val="0"/>
    </font>
    <font>
      <sz val="20"/>
      <name val="Switzerland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Arial"/>
      <family val="2"/>
    </font>
    <font>
      <sz val="12"/>
      <name val="Courier"/>
      <family val="3"/>
    </font>
    <font>
      <sz val="22"/>
      <name val="Switzerland"/>
      <family val="0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4"/>
      <color rgb="FFFF0000"/>
      <name val="Arial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Arial"/>
      <family val="2"/>
    </font>
    <font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5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49" fontId="67" fillId="33" borderId="11" xfId="68" applyNumberFormat="1" applyFont="1" applyFill="1" applyBorder="1" applyAlignment="1">
      <alignment horizontal="center"/>
      <protection/>
    </xf>
    <xf numFmtId="4" fontId="67" fillId="33" borderId="12" xfId="60" applyNumberFormat="1" applyFont="1" applyFill="1" applyBorder="1" applyAlignment="1">
      <alignment horizontal="left" readingOrder="1"/>
      <protection/>
    </xf>
    <xf numFmtId="4" fontId="67" fillId="33" borderId="11" xfId="69" applyNumberFormat="1" applyFont="1" applyFill="1" applyBorder="1" applyAlignment="1">
      <alignment horizontal="left" vertical="center"/>
      <protection/>
    </xf>
    <xf numFmtId="4" fontId="67" fillId="33" borderId="12" xfId="0" applyNumberFormat="1" applyFont="1" applyFill="1" applyBorder="1" applyAlignment="1">
      <alignment horizontal="left"/>
    </xf>
    <xf numFmtId="49" fontId="67" fillId="33" borderId="13" xfId="68" applyNumberFormat="1" applyFont="1" applyFill="1" applyBorder="1" applyAlignment="1">
      <alignment horizontal="center"/>
      <protection/>
    </xf>
    <xf numFmtId="4" fontId="67" fillId="33" borderId="0" xfId="60" applyNumberFormat="1" applyFont="1" applyFill="1" applyBorder="1" applyAlignment="1">
      <alignment horizontal="left" readingOrder="1"/>
      <protection/>
    </xf>
    <xf numFmtId="4" fontId="67" fillId="33" borderId="0" xfId="68" applyNumberFormat="1" applyFont="1" applyFill="1" applyBorder="1" applyAlignment="1">
      <alignment horizontal="left"/>
      <protection/>
    </xf>
    <xf numFmtId="4" fontId="68" fillId="33" borderId="0" xfId="60" applyNumberFormat="1" applyFont="1" applyFill="1" applyBorder="1" applyAlignment="1">
      <alignment vertical="center" wrapText="1" readingOrder="1"/>
      <protection/>
    </xf>
    <xf numFmtId="4" fontId="68" fillId="33" borderId="0" xfId="60" applyNumberFormat="1" applyFont="1" applyFill="1" applyBorder="1">
      <alignment/>
      <protection/>
    </xf>
    <xf numFmtId="4" fontId="68" fillId="33" borderId="0" xfId="69" applyNumberFormat="1" applyFont="1" applyFill="1" applyBorder="1" applyAlignment="1">
      <alignment horizontal="left"/>
      <protection/>
    </xf>
    <xf numFmtId="0" fontId="68" fillId="34" borderId="14" xfId="0" applyFont="1" applyFill="1" applyBorder="1" applyAlignment="1">
      <alignment horizontal="justify" vertical="justify" wrapText="1"/>
    </xf>
    <xf numFmtId="0" fontId="66" fillId="0" borderId="0" xfId="0" applyFont="1" applyAlignment="1">
      <alignment/>
    </xf>
    <xf numFmtId="4" fontId="3" fillId="33" borderId="0" xfId="60" applyNumberFormat="1" applyFont="1" applyFill="1" applyBorder="1" applyAlignment="1">
      <alignment vertical="center" wrapText="1" readingOrder="1"/>
      <protection/>
    </xf>
    <xf numFmtId="0" fontId="68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33" borderId="12" xfId="68" applyNumberFormat="1" applyFont="1" applyFill="1" applyBorder="1" applyAlignment="1">
      <alignment horizontal="left"/>
      <protection/>
    </xf>
    <xf numFmtId="4" fontId="67" fillId="33" borderId="15" xfId="68" applyNumberFormat="1" applyFont="1" applyFill="1" applyBorder="1" applyAlignment="1">
      <alignment horizontal="left"/>
      <protection/>
    </xf>
    <xf numFmtId="4" fontId="67" fillId="33" borderId="0" xfId="60" applyNumberFormat="1" applyFont="1" applyFill="1" applyBorder="1" applyAlignment="1">
      <alignment horizontal="left"/>
      <protection/>
    </xf>
    <xf numFmtId="4" fontId="67" fillId="33" borderId="16" xfId="60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0" fontId="68" fillId="34" borderId="14" xfId="0" applyFont="1" applyFill="1" applyBorder="1" applyAlignment="1">
      <alignment/>
    </xf>
    <xf numFmtId="49" fontId="67" fillId="33" borderId="12" xfId="60" applyNumberFormat="1" applyFont="1" applyFill="1" applyBorder="1">
      <alignment/>
      <protection/>
    </xf>
    <xf numFmtId="49" fontId="67" fillId="33" borderId="0" xfId="60" applyNumberFormat="1" applyFont="1" applyFill="1" applyBorder="1">
      <alignment/>
      <protection/>
    </xf>
    <xf numFmtId="49" fontId="67" fillId="33" borderId="17" xfId="68" applyNumberFormat="1" applyFont="1" applyFill="1" applyBorder="1" applyAlignment="1">
      <alignment horizontal="center"/>
      <protection/>
    </xf>
    <xf numFmtId="49" fontId="67" fillId="33" borderId="18" xfId="69" applyNumberFormat="1" applyFont="1" applyFill="1" applyBorder="1" applyAlignment="1">
      <alignment horizontal="center"/>
      <protection/>
    </xf>
    <xf numFmtId="4" fontId="68" fillId="33" borderId="18" xfId="69" applyNumberFormat="1" applyFont="1" applyFill="1" applyBorder="1" applyAlignment="1">
      <alignment/>
      <protection/>
    </xf>
    <xf numFmtId="0" fontId="4" fillId="0" borderId="19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/>
    </xf>
    <xf numFmtId="0" fontId="67" fillId="34" borderId="19" xfId="0" applyFont="1" applyFill="1" applyBorder="1" applyAlignment="1">
      <alignment/>
    </xf>
    <xf numFmtId="0" fontId="67" fillId="34" borderId="19" xfId="0" applyFont="1" applyFill="1" applyBorder="1" applyAlignment="1">
      <alignment horizontal="justify" vertical="justify" wrapText="1"/>
    </xf>
    <xf numFmtId="4" fontId="4" fillId="34" borderId="19" xfId="57" applyNumberFormat="1" applyFont="1" applyFill="1" applyBorder="1" applyAlignment="1">
      <alignment horizontal="right"/>
      <protection/>
    </xf>
    <xf numFmtId="0" fontId="68" fillId="33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>
      <alignment horizontal="justify" vertical="justify" wrapText="1"/>
    </xf>
    <xf numFmtId="4" fontId="3" fillId="33" borderId="16" xfId="57" applyNumberFormat="1" applyFont="1" applyFill="1" applyBorder="1" applyAlignment="1">
      <alignment horizontal="right"/>
      <protection/>
    </xf>
    <xf numFmtId="2" fontId="68" fillId="34" borderId="14" xfId="0" applyNumberFormat="1" applyFont="1" applyFill="1" applyBorder="1" applyAlignment="1">
      <alignment/>
    </xf>
    <xf numFmtId="4" fontId="3" fillId="34" borderId="14" xfId="57" applyNumberFormat="1" applyFont="1" applyFill="1" applyBorder="1" applyAlignment="1">
      <alignment horizontal="right"/>
      <protection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justify" vertical="justify" wrapText="1"/>
    </xf>
    <xf numFmtId="181" fontId="68" fillId="34" borderId="14" xfId="0" applyNumberFormat="1" applyFont="1" applyFill="1" applyBorder="1" applyAlignment="1">
      <alignment/>
    </xf>
    <xf numFmtId="0" fontId="67" fillId="34" borderId="14" xfId="0" applyFont="1" applyFill="1" applyBorder="1" applyAlignment="1">
      <alignment horizontal="center"/>
    </xf>
    <xf numFmtId="0" fontId="67" fillId="34" borderId="14" xfId="0" applyFont="1" applyFill="1" applyBorder="1" applyAlignment="1">
      <alignment/>
    </xf>
    <xf numFmtId="0" fontId="67" fillId="34" borderId="14" xfId="0" applyFont="1" applyFill="1" applyBorder="1" applyAlignment="1">
      <alignment horizontal="justify" vertical="justify" wrapText="1"/>
    </xf>
    <xf numFmtId="4" fontId="3" fillId="34" borderId="14" xfId="0" applyNumberFormat="1" applyFont="1" applyFill="1" applyBorder="1" applyAlignment="1">
      <alignment/>
    </xf>
    <xf numFmtId="181" fontId="3" fillId="34" borderId="14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65" applyFont="1">
      <alignment/>
      <protection/>
    </xf>
    <xf numFmtId="0" fontId="8" fillId="0" borderId="0" xfId="65">
      <alignment/>
      <protection/>
    </xf>
    <xf numFmtId="0" fontId="9" fillId="0" borderId="0" xfId="65" applyFont="1" applyBorder="1">
      <alignment/>
      <protection/>
    </xf>
    <xf numFmtId="4" fontId="9" fillId="0" borderId="0" xfId="65" applyNumberFormat="1" applyFont="1">
      <alignment/>
      <protection/>
    </xf>
    <xf numFmtId="0" fontId="10" fillId="0" borderId="0" xfId="65" applyFont="1">
      <alignment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1" fillId="0" borderId="0" xfId="65" applyFont="1" applyBorder="1">
      <alignment/>
      <protection/>
    </xf>
    <xf numFmtId="0" fontId="14" fillId="0" borderId="15" xfId="65" applyFont="1" applyBorder="1">
      <alignment/>
      <protection/>
    </xf>
    <xf numFmtId="0" fontId="14" fillId="0" borderId="0" xfId="65" applyFont="1">
      <alignment/>
      <protection/>
    </xf>
    <xf numFmtId="0" fontId="14" fillId="0" borderId="16" xfId="65" applyFont="1" applyBorder="1">
      <alignment/>
      <protection/>
    </xf>
    <xf numFmtId="0" fontId="14" fillId="0" borderId="20" xfId="65" applyFont="1" applyBorder="1">
      <alignment/>
      <protection/>
    </xf>
    <xf numFmtId="0" fontId="13" fillId="0" borderId="14" xfId="69" applyFont="1" applyFill="1" applyBorder="1" applyAlignment="1">
      <alignment horizontal="center" vertical="center" wrapText="1"/>
      <protection/>
    </xf>
    <xf numFmtId="0" fontId="13" fillId="0" borderId="14" xfId="65" applyFont="1" applyBorder="1" applyAlignment="1">
      <alignment horizontal="center"/>
      <protection/>
    </xf>
    <xf numFmtId="0" fontId="13" fillId="0" borderId="21" xfId="66" applyFont="1" applyFill="1" applyBorder="1" applyAlignment="1">
      <alignment vertical="top"/>
      <protection/>
    </xf>
    <xf numFmtId="39" fontId="14" fillId="0" borderId="21" xfId="65" applyNumberFormat="1" applyFont="1" applyBorder="1" applyAlignment="1">
      <alignment/>
      <protection/>
    </xf>
    <xf numFmtId="0" fontId="13" fillId="0" borderId="14" xfId="68" applyFont="1" applyFill="1" applyBorder="1" applyAlignment="1">
      <alignment vertical="top"/>
      <protection/>
    </xf>
    <xf numFmtId="0" fontId="14" fillId="0" borderId="14" xfId="68" applyFont="1" applyFill="1" applyBorder="1" applyAlignment="1">
      <alignment horizontal="left" vertical="top"/>
      <protection/>
    </xf>
    <xf numFmtId="4" fontId="14" fillId="0" borderId="14" xfId="65" applyNumberFormat="1" applyFont="1" applyFill="1" applyBorder="1" applyAlignment="1">
      <alignment/>
      <protection/>
    </xf>
    <xf numFmtId="4" fontId="13" fillId="0" borderId="14" xfId="57" applyNumberFormat="1" applyFont="1" applyFill="1" applyBorder="1" applyAlignment="1">
      <alignment horizontal="right"/>
      <protection/>
    </xf>
    <xf numFmtId="39" fontId="14" fillId="0" borderId="0" xfId="65" applyNumberFormat="1" applyFont="1">
      <alignment/>
      <protection/>
    </xf>
    <xf numFmtId="10" fontId="14" fillId="33" borderId="14" xfId="72" applyNumberFormat="1" applyFont="1" applyFill="1" applyBorder="1" applyAlignment="1">
      <alignment/>
    </xf>
    <xf numFmtId="4" fontId="14" fillId="35" borderId="19" xfId="57" applyNumberFormat="1" applyFont="1" applyFill="1" applyBorder="1">
      <alignment/>
      <protection/>
    </xf>
    <xf numFmtId="0" fontId="14" fillId="35" borderId="22" xfId="57" applyFont="1" applyFill="1" applyBorder="1">
      <alignment/>
      <protection/>
    </xf>
    <xf numFmtId="172" fontId="13" fillId="35" borderId="22" xfId="72" applyNumberFormat="1" applyFont="1" applyFill="1" applyBorder="1" applyAlignment="1">
      <alignment horizontal="center"/>
    </xf>
    <xf numFmtId="0" fontId="14" fillId="35" borderId="23" xfId="65" applyFont="1" applyFill="1" applyBorder="1">
      <alignment/>
      <protection/>
    </xf>
    <xf numFmtId="0" fontId="13" fillId="0" borderId="19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49" fontId="71" fillId="33" borderId="11" xfId="68" applyNumberFormat="1" applyFont="1" applyFill="1" applyBorder="1" applyAlignment="1">
      <alignment horizontal="center"/>
      <protection/>
    </xf>
    <xf numFmtId="49" fontId="71" fillId="33" borderId="12" xfId="60" applyNumberFormat="1" applyFont="1" applyFill="1" applyBorder="1" applyAlignment="1">
      <alignment horizontal="center"/>
      <protection/>
    </xf>
    <xf numFmtId="4" fontId="71" fillId="33" borderId="12" xfId="60" applyNumberFormat="1" applyFont="1" applyFill="1" applyBorder="1" applyAlignment="1">
      <alignment horizontal="left" readingOrder="1"/>
      <protection/>
    </xf>
    <xf numFmtId="4" fontId="71" fillId="33" borderId="12" xfId="0" applyNumberFormat="1" applyFont="1" applyFill="1" applyBorder="1" applyAlignment="1">
      <alignment horizontal="left"/>
    </xf>
    <xf numFmtId="4" fontId="71" fillId="33" borderId="12" xfId="68" applyNumberFormat="1" applyFont="1" applyFill="1" applyBorder="1" applyAlignment="1">
      <alignment horizontal="left"/>
      <protection/>
    </xf>
    <xf numFmtId="4" fontId="71" fillId="33" borderId="15" xfId="68" applyNumberFormat="1" applyFont="1" applyFill="1" applyBorder="1" applyAlignment="1">
      <alignment horizontal="left"/>
      <protection/>
    </xf>
    <xf numFmtId="0" fontId="72" fillId="0" borderId="0" xfId="0" applyFont="1" applyAlignment="1">
      <alignment/>
    </xf>
    <xf numFmtId="49" fontId="71" fillId="33" borderId="13" xfId="68" applyNumberFormat="1" applyFont="1" applyFill="1" applyBorder="1" applyAlignment="1">
      <alignment horizontal="center"/>
      <protection/>
    </xf>
    <xf numFmtId="49" fontId="71" fillId="33" borderId="0" xfId="60" applyNumberFormat="1" applyFont="1" applyFill="1" applyBorder="1" applyAlignment="1">
      <alignment horizontal="center"/>
      <protection/>
    </xf>
    <xf numFmtId="4" fontId="71" fillId="33" borderId="0" xfId="60" applyNumberFormat="1" applyFont="1" applyFill="1" applyBorder="1" applyAlignment="1">
      <alignment horizontal="left" readingOrder="1"/>
      <protection/>
    </xf>
    <xf numFmtId="4" fontId="71" fillId="33" borderId="0" xfId="69" applyNumberFormat="1" applyFont="1" applyFill="1" applyBorder="1" applyAlignment="1">
      <alignment horizontal="left" vertical="center"/>
      <protection/>
    </xf>
    <xf numFmtId="4" fontId="71" fillId="33" borderId="0" xfId="60" applyNumberFormat="1" applyFont="1" applyFill="1" applyBorder="1" applyAlignment="1">
      <alignment horizontal="left"/>
      <protection/>
    </xf>
    <xf numFmtId="4" fontId="71" fillId="33" borderId="16" xfId="60" applyNumberFormat="1" applyFont="1" applyFill="1" applyBorder="1" applyAlignment="1">
      <alignment horizontal="left"/>
      <protection/>
    </xf>
    <xf numFmtId="4" fontId="72" fillId="33" borderId="0" xfId="60" applyNumberFormat="1" applyFont="1" applyFill="1" applyBorder="1" applyAlignment="1">
      <alignment vertical="center" wrapText="1" readingOrder="1"/>
      <protection/>
    </xf>
    <xf numFmtId="4" fontId="14" fillId="33" borderId="0" xfId="60" applyNumberFormat="1" applyFont="1" applyFill="1" applyBorder="1" applyAlignment="1">
      <alignment vertical="center" wrapText="1" readingOrder="1"/>
      <protection/>
    </xf>
    <xf numFmtId="4" fontId="71" fillId="33" borderId="0" xfId="60" applyNumberFormat="1" applyFont="1" applyFill="1" applyBorder="1">
      <alignment/>
      <protection/>
    </xf>
    <xf numFmtId="4" fontId="72" fillId="33" borderId="0" xfId="69" applyNumberFormat="1" applyFont="1" applyFill="1" applyBorder="1" applyAlignment="1">
      <alignment horizontal="left"/>
      <protection/>
    </xf>
    <xf numFmtId="49" fontId="71" fillId="33" borderId="17" xfId="68" applyNumberFormat="1" applyFont="1" applyFill="1" applyBorder="1" applyAlignment="1">
      <alignment horizontal="center"/>
      <protection/>
    </xf>
    <xf numFmtId="49" fontId="71" fillId="33" borderId="18" xfId="69" applyNumberFormat="1" applyFont="1" applyFill="1" applyBorder="1" applyAlignment="1">
      <alignment horizontal="center"/>
      <protection/>
    </xf>
    <xf numFmtId="4" fontId="72" fillId="33" borderId="18" xfId="69" applyNumberFormat="1" applyFont="1" applyFill="1" applyBorder="1" applyAlignment="1">
      <alignment/>
      <protection/>
    </xf>
    <xf numFmtId="0" fontId="14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34" borderId="14" xfId="0" applyFont="1" applyFill="1" applyBorder="1" applyAlignment="1">
      <alignment horizontal="center"/>
    </xf>
    <xf numFmtId="0" fontId="71" fillId="34" borderId="14" xfId="0" applyFont="1" applyFill="1" applyBorder="1" applyAlignment="1">
      <alignment horizontal="justify" vertical="center" wrapText="1"/>
    </xf>
    <xf numFmtId="0" fontId="71" fillId="34" borderId="14" xfId="0" applyFont="1" applyFill="1" applyBorder="1" applyAlignment="1">
      <alignment/>
    </xf>
    <xf numFmtId="0" fontId="72" fillId="33" borderId="14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justify" vertical="center" wrapText="1"/>
    </xf>
    <xf numFmtId="4" fontId="72" fillId="33" borderId="14" xfId="0" applyNumberFormat="1" applyFont="1" applyFill="1" applyBorder="1" applyAlignment="1">
      <alignment/>
    </xf>
    <xf numFmtId="4" fontId="14" fillId="33" borderId="14" xfId="57" applyNumberFormat="1" applyFont="1" applyFill="1" applyBorder="1" applyAlignment="1">
      <alignment horizontal="right"/>
      <protection/>
    </xf>
    <xf numFmtId="0" fontId="72" fillId="33" borderId="0" xfId="0" applyFont="1" applyFill="1" applyAlignment="1">
      <alignment/>
    </xf>
    <xf numFmtId="2" fontId="72" fillId="33" borderId="14" xfId="0" applyNumberFormat="1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justify" vertical="center" wrapText="1"/>
    </xf>
    <xf numFmtId="0" fontId="72" fillId="34" borderId="0" xfId="0" applyFont="1" applyFill="1" applyAlignment="1">
      <alignment/>
    </xf>
    <xf numFmtId="180" fontId="71" fillId="34" borderId="14" xfId="0" applyNumberFormat="1" applyFont="1" applyFill="1" applyBorder="1" applyAlignment="1">
      <alignment/>
    </xf>
    <xf numFmtId="0" fontId="71" fillId="34" borderId="14" xfId="0" applyFont="1" applyFill="1" applyBorder="1" applyAlignment="1">
      <alignment horizontal="right"/>
    </xf>
    <xf numFmtId="4" fontId="71" fillId="34" borderId="14" xfId="0" applyNumberFormat="1" applyFont="1" applyFill="1" applyBorder="1" applyAlignment="1">
      <alignment/>
    </xf>
    <xf numFmtId="0" fontId="72" fillId="33" borderId="23" xfId="0" applyFont="1" applyFill="1" applyBorder="1" applyAlignment="1">
      <alignment horizontal="center" vertical="justify" wrapText="1"/>
    </xf>
    <xf numFmtId="0" fontId="72" fillId="33" borderId="23" xfId="0" applyFont="1" applyFill="1" applyBorder="1" applyAlignment="1">
      <alignment horizontal="center"/>
    </xf>
    <xf numFmtId="0" fontId="71" fillId="33" borderId="0" xfId="0" applyFont="1" applyFill="1" applyAlignment="1">
      <alignment/>
    </xf>
    <xf numFmtId="0" fontId="71" fillId="34" borderId="14" xfId="0" applyFont="1" applyFill="1" applyBorder="1" applyAlignment="1">
      <alignment/>
    </xf>
    <xf numFmtId="0" fontId="72" fillId="0" borderId="0" xfId="0" applyFont="1" applyBorder="1" applyAlignment="1">
      <alignment/>
    </xf>
    <xf numFmtId="0" fontId="71" fillId="34" borderId="24" xfId="0" applyFont="1" applyFill="1" applyBorder="1" applyAlignment="1">
      <alignment horizontal="right"/>
    </xf>
    <xf numFmtId="0" fontId="72" fillId="34" borderId="14" xfId="0" applyFont="1" applyFill="1" applyBorder="1" applyAlignment="1">
      <alignment/>
    </xf>
    <xf numFmtId="0" fontId="73" fillId="34" borderId="14" xfId="0" applyFont="1" applyFill="1" applyBorder="1" applyAlignment="1">
      <alignment horizontal="center"/>
    </xf>
    <xf numFmtId="0" fontId="73" fillId="34" borderId="14" xfId="0" applyFont="1" applyFill="1" applyBorder="1" applyAlignment="1">
      <alignment/>
    </xf>
    <xf numFmtId="0" fontId="72" fillId="0" borderId="18" xfId="0" applyFont="1" applyBorder="1" applyAlignment="1">
      <alignment/>
    </xf>
    <xf numFmtId="4" fontId="71" fillId="33" borderId="12" xfId="69" applyNumberFormat="1" applyFont="1" applyFill="1" applyBorder="1" applyAlignment="1">
      <alignment horizontal="left" vertical="center"/>
      <protection/>
    </xf>
    <xf numFmtId="4" fontId="71" fillId="33" borderId="11" xfId="68" applyNumberFormat="1" applyFont="1" applyFill="1" applyBorder="1" applyAlignment="1">
      <alignment horizontal="left"/>
      <protection/>
    </xf>
    <xf numFmtId="4" fontId="71" fillId="33" borderId="13" xfId="60" applyNumberFormat="1" applyFont="1" applyFill="1" applyBorder="1" applyAlignment="1">
      <alignment horizontal="left"/>
      <protection/>
    </xf>
    <xf numFmtId="0" fontId="13" fillId="0" borderId="24" xfId="68" applyFont="1" applyBorder="1" applyAlignment="1">
      <alignment vertical="top"/>
      <protection/>
    </xf>
    <xf numFmtId="0" fontId="14" fillId="0" borderId="25" xfId="68" applyFont="1" applyBorder="1" applyAlignment="1">
      <alignment horizontal="left" vertical="top"/>
      <protection/>
    </xf>
    <xf numFmtId="10" fontId="14" fillId="33" borderId="24" xfId="72" applyNumberFormat="1" applyFont="1" applyFill="1" applyBorder="1" applyAlignment="1">
      <alignment/>
    </xf>
    <xf numFmtId="4" fontId="14" fillId="0" borderId="25" xfId="65" applyNumberFormat="1" applyFont="1" applyFill="1" applyBorder="1" applyAlignment="1">
      <alignment/>
      <protection/>
    </xf>
    <xf numFmtId="4" fontId="13" fillId="0" borderId="19" xfId="57" applyNumberFormat="1" applyFont="1" applyBorder="1">
      <alignment/>
      <protection/>
    </xf>
    <xf numFmtId="4" fontId="19" fillId="0" borderId="0" xfId="65" applyNumberFormat="1" applyFont="1">
      <alignment/>
      <protection/>
    </xf>
    <xf numFmtId="0" fontId="13" fillId="0" borderId="24" xfId="0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67" fillId="33" borderId="13" xfId="69" applyFont="1" applyFill="1" applyBorder="1" applyAlignment="1">
      <alignment horizontal="left" vertical="center"/>
      <protection/>
    </xf>
    <xf numFmtId="44" fontId="67" fillId="34" borderId="14" xfId="50" applyFont="1" applyFill="1" applyBorder="1" applyAlignment="1">
      <alignment/>
    </xf>
    <xf numFmtId="2" fontId="68" fillId="33" borderId="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0" fillId="33" borderId="0" xfId="0" applyFill="1" applyAlignment="1">
      <alignment/>
    </xf>
    <xf numFmtId="4" fontId="68" fillId="33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 horizontal="justify" vertical="justify" wrapText="1"/>
    </xf>
    <xf numFmtId="0" fontId="60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68" fillId="33" borderId="0" xfId="0" applyNumberFormat="1" applyFont="1" applyFill="1" applyBorder="1" applyAlignment="1">
      <alignment/>
    </xf>
    <xf numFmtId="0" fontId="75" fillId="33" borderId="0" xfId="0" applyFont="1" applyFill="1" applyAlignment="1">
      <alignment/>
    </xf>
    <xf numFmtId="0" fontId="46" fillId="33" borderId="0" xfId="0" applyFont="1" applyFill="1" applyAlignment="1">
      <alignment/>
    </xf>
    <xf numFmtId="180" fontId="3" fillId="3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 wrapText="1"/>
    </xf>
    <xf numFmtId="2" fontId="14" fillId="33" borderId="14" xfId="0" applyNumberFormat="1" applyFont="1" applyFill="1" applyBorder="1" applyAlignment="1">
      <alignment/>
    </xf>
    <xf numFmtId="4" fontId="14" fillId="33" borderId="14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14" xfId="0" applyFont="1" applyFill="1" applyBorder="1" applyAlignment="1">
      <alignment horizontal="justify" vertical="justify" wrapText="1"/>
    </xf>
    <xf numFmtId="0" fontId="14" fillId="33" borderId="14" xfId="0" applyFont="1" applyFill="1" applyBorder="1" applyAlignment="1">
      <alignment horizontal="justify" vertical="justify"/>
    </xf>
    <xf numFmtId="0" fontId="72" fillId="33" borderId="11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justify" vertical="justify" wrapText="1"/>
    </xf>
    <xf numFmtId="0" fontId="72" fillId="0" borderId="14" xfId="0" applyFont="1" applyBorder="1" applyAlignment="1">
      <alignment horizontal="justify" vertical="justify" wrapText="1"/>
    </xf>
    <xf numFmtId="0" fontId="72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justify" vertical="justify"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16" xfId="57" applyNumberFormat="1" applyFont="1" applyFill="1" applyBorder="1" applyAlignment="1">
      <alignment horizontal="right"/>
      <protection/>
    </xf>
    <xf numFmtId="0" fontId="76" fillId="33" borderId="0" xfId="0" applyFont="1" applyFill="1" applyAlignment="1">
      <alignment/>
    </xf>
    <xf numFmtId="0" fontId="14" fillId="33" borderId="14" xfId="0" applyFont="1" applyFill="1" applyBorder="1" applyAlignment="1">
      <alignment horizontal="center" vertical="justify" wrapText="1"/>
    </xf>
    <xf numFmtId="0" fontId="46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0" fillId="34" borderId="0" xfId="0" applyFill="1" applyAlignment="1">
      <alignment/>
    </xf>
    <xf numFmtId="0" fontId="75" fillId="34" borderId="0" xfId="0" applyFont="1" applyFill="1" applyAlignment="1">
      <alignment horizontal="justify" vertical="justify" wrapText="1"/>
    </xf>
    <xf numFmtId="0" fontId="60" fillId="34" borderId="0" xfId="0" applyFont="1" applyFill="1" applyAlignment="1">
      <alignment/>
    </xf>
    <xf numFmtId="0" fontId="75" fillId="34" borderId="0" xfId="0" applyFont="1" applyFill="1" applyAlignment="1">
      <alignment/>
    </xf>
    <xf numFmtId="4" fontId="68" fillId="33" borderId="13" xfId="60" applyNumberFormat="1" applyFont="1" applyFill="1" applyBorder="1" applyAlignment="1">
      <alignment horizontal="left" vertical="center"/>
      <protection/>
    </xf>
    <xf numFmtId="4" fontId="68" fillId="33" borderId="0" xfId="60" applyNumberFormat="1" applyFont="1" applyFill="1" applyBorder="1" applyAlignment="1">
      <alignment horizontal="left" vertical="center"/>
      <protection/>
    </xf>
    <xf numFmtId="4" fontId="68" fillId="33" borderId="16" xfId="60" applyNumberFormat="1" applyFont="1" applyFill="1" applyBorder="1" applyAlignment="1">
      <alignment horizontal="left" vertical="center"/>
      <protection/>
    </xf>
    <xf numFmtId="0" fontId="3" fillId="33" borderId="17" xfId="69" applyFont="1" applyFill="1" applyBorder="1" applyAlignment="1">
      <alignment horizontal="left"/>
      <protection/>
    </xf>
    <xf numFmtId="0" fontId="3" fillId="33" borderId="18" xfId="69" applyFont="1" applyFill="1" applyBorder="1" applyAlignment="1">
      <alignment horizontal="left"/>
      <protection/>
    </xf>
    <xf numFmtId="0" fontId="3" fillId="33" borderId="20" xfId="69" applyFont="1" applyFill="1" applyBorder="1" applyAlignment="1">
      <alignment horizontal="left"/>
      <protection/>
    </xf>
    <xf numFmtId="4" fontId="68" fillId="33" borderId="13" xfId="69" applyNumberFormat="1" applyFont="1" applyFill="1" applyBorder="1" applyAlignment="1">
      <alignment horizontal="left" vertical="center"/>
      <protection/>
    </xf>
    <xf numFmtId="4" fontId="68" fillId="33" borderId="0" xfId="69" applyNumberFormat="1" applyFont="1" applyFill="1" applyBorder="1" applyAlignment="1">
      <alignment horizontal="left" vertical="center"/>
      <protection/>
    </xf>
    <xf numFmtId="4" fontId="68" fillId="33" borderId="16" xfId="69" applyNumberFormat="1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 wrapText="1" readingOrder="1"/>
    </xf>
    <xf numFmtId="0" fontId="3" fillId="33" borderId="0" xfId="0" applyFont="1" applyFill="1" applyBorder="1" applyAlignment="1">
      <alignment horizontal="left" vertical="center" wrapText="1" readingOrder="1"/>
    </xf>
    <xf numFmtId="0" fontId="3" fillId="33" borderId="16" xfId="0" applyFont="1" applyFill="1" applyBorder="1" applyAlignment="1">
      <alignment horizontal="left" vertical="center" wrapText="1" readingOrder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49" fontId="77" fillId="33" borderId="24" xfId="68" applyNumberFormat="1" applyFont="1" applyFill="1" applyBorder="1" applyAlignment="1">
      <alignment horizontal="center" vertical="center" wrapText="1"/>
      <protection/>
    </xf>
    <xf numFmtId="0" fontId="68" fillId="33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justify" wrapText="1"/>
    </xf>
    <xf numFmtId="0" fontId="4" fillId="0" borderId="23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 wrapText="1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9" fontId="13" fillId="33" borderId="24" xfId="68" applyNumberFormat="1" applyFont="1" applyFill="1" applyBorder="1" applyAlignment="1">
      <alignment horizontal="center" vertical="center" wrapText="1"/>
      <protection/>
    </xf>
    <xf numFmtId="49" fontId="13" fillId="33" borderId="21" xfId="68" applyNumberFormat="1" applyFont="1" applyFill="1" applyBorder="1" applyAlignment="1">
      <alignment horizontal="center" vertical="center" wrapText="1"/>
      <protection/>
    </xf>
    <xf numFmtId="49" fontId="13" fillId="33" borderId="25" xfId="68" applyNumberFormat="1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justify" wrapText="1"/>
    </xf>
    <xf numFmtId="4" fontId="72" fillId="33" borderId="13" xfId="69" applyNumberFormat="1" applyFont="1" applyFill="1" applyBorder="1" applyAlignment="1">
      <alignment horizontal="left" vertical="center"/>
      <protection/>
    </xf>
    <xf numFmtId="4" fontId="72" fillId="33" borderId="0" xfId="69" applyNumberFormat="1" applyFont="1" applyFill="1" applyBorder="1" applyAlignment="1">
      <alignment horizontal="left" vertical="center"/>
      <protection/>
    </xf>
    <xf numFmtId="4" fontId="72" fillId="33" borderId="16" xfId="69" applyNumberFormat="1" applyFont="1" applyFill="1" applyBorder="1" applyAlignment="1">
      <alignment horizontal="left" vertical="center"/>
      <protection/>
    </xf>
    <xf numFmtId="0" fontId="14" fillId="33" borderId="13" xfId="0" applyFont="1" applyFill="1" applyBorder="1" applyAlignment="1">
      <alignment horizontal="left" vertical="center" wrapText="1" readingOrder="1"/>
    </xf>
    <xf numFmtId="0" fontId="14" fillId="33" borderId="0" xfId="0" applyFont="1" applyFill="1" applyBorder="1" applyAlignment="1">
      <alignment horizontal="left" vertical="center" wrapText="1" readingOrder="1"/>
    </xf>
    <xf numFmtId="0" fontId="14" fillId="33" borderId="16" xfId="0" applyFont="1" applyFill="1" applyBorder="1" applyAlignment="1">
      <alignment horizontal="left" vertical="center" wrapText="1" readingOrder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4" fontId="72" fillId="33" borderId="13" xfId="60" applyNumberFormat="1" applyFont="1" applyFill="1" applyBorder="1" applyAlignment="1">
      <alignment horizontal="left" vertical="center"/>
      <protection/>
    </xf>
    <xf numFmtId="4" fontId="72" fillId="33" borderId="0" xfId="60" applyNumberFormat="1" applyFont="1" applyFill="1" applyBorder="1" applyAlignment="1">
      <alignment horizontal="left" vertical="center"/>
      <protection/>
    </xf>
    <xf numFmtId="4" fontId="72" fillId="33" borderId="16" xfId="60" applyNumberFormat="1" applyFont="1" applyFill="1" applyBorder="1" applyAlignment="1">
      <alignment horizontal="left" vertical="center"/>
      <protection/>
    </xf>
    <xf numFmtId="0" fontId="14" fillId="33" borderId="17" xfId="69" applyFont="1" applyFill="1" applyBorder="1" applyAlignment="1">
      <alignment horizontal="left"/>
      <protection/>
    </xf>
    <xf numFmtId="0" fontId="14" fillId="33" borderId="18" xfId="69" applyFont="1" applyFill="1" applyBorder="1" applyAlignment="1">
      <alignment horizontal="left"/>
      <protection/>
    </xf>
    <xf numFmtId="0" fontId="14" fillId="33" borderId="20" xfId="69" applyFont="1" applyFill="1" applyBorder="1" applyAlignment="1">
      <alignment horizontal="left"/>
      <protection/>
    </xf>
    <xf numFmtId="0" fontId="13" fillId="0" borderId="24" xfId="65" applyFont="1" applyBorder="1" applyAlignment="1">
      <alignment horizontal="left" vertical="top"/>
      <protection/>
    </xf>
    <xf numFmtId="0" fontId="13" fillId="0" borderId="25" xfId="65" applyFont="1" applyBorder="1" applyAlignment="1">
      <alignment horizontal="left" vertical="top"/>
      <protection/>
    </xf>
    <xf numFmtId="10" fontId="13" fillId="0" borderId="24" xfId="72" applyNumberFormat="1" applyFont="1" applyBorder="1" applyAlignment="1">
      <alignment horizontal="center"/>
    </xf>
    <xf numFmtId="10" fontId="13" fillId="0" borderId="25" xfId="72" applyNumberFormat="1" applyFont="1" applyBorder="1" applyAlignment="1">
      <alignment horizontal="center"/>
    </xf>
    <xf numFmtId="0" fontId="13" fillId="0" borderId="14" xfId="66" applyFont="1" applyFill="1" applyBorder="1" applyAlignment="1">
      <alignment horizontal="center" vertical="top"/>
      <protection/>
    </xf>
    <xf numFmtId="1" fontId="13" fillId="0" borderId="24" xfId="65" applyNumberFormat="1" applyFont="1" applyBorder="1" applyAlignment="1">
      <alignment horizontal="left" vertical="top"/>
      <protection/>
    </xf>
    <xf numFmtId="1" fontId="13" fillId="0" borderId="25" xfId="65" applyNumberFormat="1" applyFont="1" applyBorder="1" applyAlignment="1">
      <alignment horizontal="left" vertical="top"/>
      <protection/>
    </xf>
    <xf numFmtId="4" fontId="13" fillId="0" borderId="24" xfId="67" applyNumberFormat="1" applyFont="1" applyBorder="1" applyAlignment="1">
      <alignment horizontal="center"/>
      <protection/>
    </xf>
    <xf numFmtId="4" fontId="13" fillId="0" borderId="25" xfId="67" applyNumberFormat="1" applyFont="1" applyBorder="1" applyAlignment="1">
      <alignment horizontal="center"/>
      <protection/>
    </xf>
    <xf numFmtId="39" fontId="13" fillId="0" borderId="24" xfId="65" applyNumberFormat="1" applyFont="1" applyBorder="1" applyAlignment="1">
      <alignment horizontal="center"/>
      <protection/>
    </xf>
    <xf numFmtId="39" fontId="13" fillId="0" borderId="25" xfId="65" applyNumberFormat="1" applyFont="1" applyBorder="1" applyAlignment="1">
      <alignment horizontal="center"/>
      <protection/>
    </xf>
    <xf numFmtId="4" fontId="78" fillId="0" borderId="13" xfId="69" applyNumberFormat="1" applyFont="1" applyFill="1" applyBorder="1" applyAlignment="1">
      <alignment horizontal="center" vertical="center" wrapText="1"/>
      <protection/>
    </xf>
    <xf numFmtId="4" fontId="78" fillId="0" borderId="0" xfId="69" applyNumberFormat="1" applyFont="1" applyFill="1" applyBorder="1" applyAlignment="1">
      <alignment horizontal="center" vertical="center" wrapText="1"/>
      <protection/>
    </xf>
    <xf numFmtId="4" fontId="78" fillId="0" borderId="17" xfId="69" applyNumberFormat="1" applyFont="1" applyFill="1" applyBorder="1" applyAlignment="1">
      <alignment horizontal="center" vertical="center" wrapText="1"/>
      <protection/>
    </xf>
    <xf numFmtId="4" fontId="78" fillId="0" borderId="18" xfId="69" applyNumberFormat="1" applyFont="1" applyFill="1" applyBorder="1" applyAlignment="1">
      <alignment horizontal="center" vertical="center" wrapText="1"/>
      <protection/>
    </xf>
    <xf numFmtId="0" fontId="13" fillId="0" borderId="24" xfId="69" applyFont="1" applyFill="1" applyBorder="1" applyAlignment="1">
      <alignment horizontal="center" vertical="center" wrapText="1"/>
      <protection/>
    </xf>
    <xf numFmtId="0" fontId="13" fillId="0" borderId="21" xfId="69" applyFont="1" applyFill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wrapText="1"/>
      <protection/>
    </xf>
    <xf numFmtId="0" fontId="13" fillId="0" borderId="22" xfId="65" applyFont="1" applyBorder="1" applyAlignment="1">
      <alignment horizontal="center" wrapText="1"/>
      <protection/>
    </xf>
    <xf numFmtId="0" fontId="13" fillId="0" borderId="23" xfId="65" applyFont="1" applyBorder="1" applyAlignment="1">
      <alignment horizontal="center" wrapText="1"/>
      <protection/>
    </xf>
    <xf numFmtId="0" fontId="13" fillId="0" borderId="24" xfId="65" applyFont="1" applyBorder="1" applyAlignment="1">
      <alignment horizontal="center"/>
      <protection/>
    </xf>
    <xf numFmtId="0" fontId="13" fillId="0" borderId="21" xfId="65" applyFont="1" applyBorder="1" applyAlignment="1">
      <alignment horizontal="center"/>
      <protection/>
    </xf>
    <xf numFmtId="0" fontId="13" fillId="0" borderId="25" xfId="65" applyFont="1" applyBorder="1" applyAlignment="1">
      <alignment horizontal="center"/>
      <protection/>
    </xf>
    <xf numFmtId="44" fontId="15" fillId="0" borderId="11" xfId="60" applyNumberFormat="1" applyFont="1" applyBorder="1" applyAlignment="1">
      <alignment horizontal="center" vertical="center" wrapText="1" readingOrder="1"/>
      <protection/>
    </xf>
    <xf numFmtId="44" fontId="15" fillId="0" borderId="12" xfId="60" applyNumberFormat="1" applyFont="1" applyBorder="1" applyAlignment="1">
      <alignment horizontal="center" vertical="center" wrapText="1" readingOrder="1"/>
      <protection/>
    </xf>
    <xf numFmtId="44" fontId="15" fillId="0" borderId="13" xfId="60" applyNumberFormat="1" applyFont="1" applyBorder="1" applyAlignment="1">
      <alignment horizontal="center" vertical="center" wrapText="1" readingOrder="1"/>
      <protection/>
    </xf>
    <xf numFmtId="44" fontId="15" fillId="0" borderId="0" xfId="60" applyNumberFormat="1" applyFont="1" applyBorder="1" applyAlignment="1">
      <alignment horizontal="center" vertical="center" wrapText="1" readingOrder="1"/>
      <protection/>
    </xf>
    <xf numFmtId="4" fontId="78" fillId="0" borderId="13" xfId="60" applyNumberFormat="1" applyFont="1" applyFill="1" applyBorder="1" applyAlignment="1">
      <alignment horizontal="center" vertical="center" wrapText="1" readingOrder="1"/>
      <protection/>
    </xf>
    <xf numFmtId="4" fontId="78" fillId="0" borderId="0" xfId="60" applyNumberFormat="1" applyFont="1" applyFill="1" applyBorder="1" applyAlignment="1">
      <alignment horizontal="center" vertical="center" wrapText="1" readingOrder="1"/>
      <protection/>
    </xf>
    <xf numFmtId="0" fontId="17" fillId="0" borderId="13" xfId="69" applyFont="1" applyFill="1" applyBorder="1" applyAlignment="1">
      <alignment horizontal="center"/>
      <protection/>
    </xf>
    <xf numFmtId="0" fontId="17" fillId="0" borderId="0" xfId="69" applyFont="1" applyFill="1" applyBorder="1" applyAlignment="1">
      <alignment horizontal="center"/>
      <protection/>
    </xf>
    <xf numFmtId="4" fontId="78" fillId="0" borderId="13" xfId="60" applyNumberFormat="1" applyFont="1" applyFill="1" applyBorder="1" applyAlignment="1">
      <alignment horizontal="center" vertical="center" wrapText="1"/>
      <protection/>
    </xf>
    <xf numFmtId="4" fontId="78" fillId="0" borderId="0" xfId="60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Moeda 4" xfId="54"/>
    <cellStyle name="Neutra" xfId="55"/>
    <cellStyle name="Normal 10" xfId="56"/>
    <cellStyle name="Normal 2" xfId="57"/>
    <cellStyle name="Normal 2 2" xfId="58"/>
    <cellStyle name="Normal 2 2 2" xfId="59"/>
    <cellStyle name="Normal 2 3" xfId="60"/>
    <cellStyle name="Normal 3" xfId="61"/>
    <cellStyle name="Normal 3 2" xfId="62"/>
    <cellStyle name="Normal 4" xfId="63"/>
    <cellStyle name="Normal 5" xfId="64"/>
    <cellStyle name="Normal_CRONOGRAMA" xfId="65"/>
    <cellStyle name="Normal_CRUZEI~1" xfId="66"/>
    <cellStyle name="Normal_Orçamento nº057-2003- Esc. Munic. AMPARO revisão" xfId="67"/>
    <cellStyle name="Normal_P_Getulio Vargas" xfId="68"/>
    <cellStyle name="Normal_P_Getulio Vargas 2" xfId="69"/>
    <cellStyle name="Nota" xfId="70"/>
    <cellStyle name="Percent" xfId="71"/>
    <cellStyle name="Porcentagem 2" xfId="72"/>
    <cellStyle name="Porcentagem 3" xfId="73"/>
    <cellStyle name="Saída" xfId="74"/>
    <cellStyle name="Comma [0]" xfId="75"/>
    <cellStyle name="Texto de Aviso" xfId="76"/>
    <cellStyle name="Texto Explicativo" xfId="77"/>
    <cellStyle name="Título" xfId="78"/>
    <cellStyle name="Título 1" xfId="79"/>
    <cellStyle name="Título 1 1" xfId="80"/>
    <cellStyle name="Título 1 1 1" xfId="81"/>
    <cellStyle name="Título 1 1_PLAN   (2)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114300</xdr:rowOff>
    </xdr:from>
    <xdr:to>
      <xdr:col>1</xdr:col>
      <xdr:colOff>2657475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14300"/>
          <a:ext cx="35718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619125</xdr:rowOff>
    </xdr:from>
    <xdr:to>
      <xdr:col>4</xdr:col>
      <xdr:colOff>4181475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619125"/>
          <a:ext cx="389572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CKUP%20ALFREDO\alfredo.cunha\Documents\Meus%20Documentos\PLANEJAMENTO%20PMBM%202017\PRESIDENTE%20KENNEDY%202018\ARQUIVOS%20FINAIS%2011-12-2018\rev24-10_Or&#231;amento%200xx-18_%20Av.%20Presidente%20Kennedy%20-%20ONER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bmsrv1\Publica\Users\User\Desktop\C&#243;pia%20de%20KENNEDY%20ALFREDO%20-%20REV%2011f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ÓRIA TOTAL DESONERADA "/>
      <sheetName val="MEMÓRIA TOTAL ONERADA"/>
      <sheetName val="MEMÓRIA ONERADA"/>
      <sheetName val="PLANILHA SEM BDI"/>
      <sheetName val="PLANILHA COM BDI"/>
      <sheetName val="Cronogram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ª REVISÃO - OC - ALFRE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8.8515625" style="2" customWidth="1"/>
    <col min="2" max="2" width="25.421875" style="0" customWidth="1"/>
    <col min="3" max="3" width="104.00390625" style="1" customWidth="1"/>
    <col min="4" max="4" width="11.140625" style="0" customWidth="1"/>
    <col min="5" max="5" width="14.8515625" style="0" bestFit="1" customWidth="1"/>
    <col min="6" max="6" width="19.8515625" style="0" bestFit="1" customWidth="1"/>
    <col min="7" max="7" width="22.140625" style="0" customWidth="1"/>
    <col min="8" max="8" width="58.7109375" style="0" bestFit="1" customWidth="1"/>
    <col min="9" max="9" width="11.140625" style="0" bestFit="1" customWidth="1"/>
  </cols>
  <sheetData>
    <row r="1" spans="1:9" ht="15.75">
      <c r="A1" s="3"/>
      <c r="B1" s="25"/>
      <c r="C1" s="4" t="s">
        <v>12</v>
      </c>
      <c r="D1" s="5"/>
      <c r="E1" s="6"/>
      <c r="F1" s="19"/>
      <c r="G1" s="20"/>
      <c r="H1" s="23"/>
      <c r="I1" s="23"/>
    </row>
    <row r="2" spans="1:9" ht="15.75">
      <c r="A2" s="7"/>
      <c r="B2" s="26"/>
      <c r="C2" s="8" t="s">
        <v>13</v>
      </c>
      <c r="D2" s="140"/>
      <c r="E2" s="9"/>
      <c r="F2" s="21"/>
      <c r="G2" s="22"/>
      <c r="H2" s="23"/>
      <c r="I2" s="23"/>
    </row>
    <row r="3" spans="1:9" ht="15.75">
      <c r="A3" s="7"/>
      <c r="B3" s="26"/>
      <c r="C3" s="8" t="s">
        <v>14</v>
      </c>
      <c r="D3" s="189" t="s">
        <v>213</v>
      </c>
      <c r="E3" s="190"/>
      <c r="F3" s="190"/>
      <c r="G3" s="191"/>
      <c r="H3" s="23"/>
      <c r="I3" s="23"/>
    </row>
    <row r="4" spans="1:7" ht="15.75" customHeight="1">
      <c r="A4" s="7"/>
      <c r="B4" s="26"/>
      <c r="C4" s="10" t="s">
        <v>90</v>
      </c>
      <c r="D4" s="192" t="s">
        <v>216</v>
      </c>
      <c r="E4" s="193"/>
      <c r="F4" s="193"/>
      <c r="G4" s="194"/>
    </row>
    <row r="5" spans="1:7" ht="15.75" customHeight="1">
      <c r="A5" s="7"/>
      <c r="B5" s="26"/>
      <c r="C5" s="15" t="s">
        <v>179</v>
      </c>
      <c r="D5" s="195" t="s">
        <v>215</v>
      </c>
      <c r="E5" s="196"/>
      <c r="F5" s="196"/>
      <c r="G5" s="197"/>
    </row>
    <row r="6" spans="1:9" ht="15.75">
      <c r="A6" s="7"/>
      <c r="B6" s="26"/>
      <c r="C6" s="11" t="s">
        <v>92</v>
      </c>
      <c r="D6" s="183" t="s">
        <v>62</v>
      </c>
      <c r="E6" s="184"/>
      <c r="F6" s="184"/>
      <c r="G6" s="185"/>
      <c r="H6" s="23"/>
      <c r="I6" s="23"/>
    </row>
    <row r="7" spans="1:9" ht="15.75">
      <c r="A7" s="7"/>
      <c r="B7" s="26"/>
      <c r="C7" s="12" t="s">
        <v>32</v>
      </c>
      <c r="D7" s="183" t="s">
        <v>217</v>
      </c>
      <c r="E7" s="184"/>
      <c r="F7" s="184"/>
      <c r="G7" s="185"/>
      <c r="H7" s="23"/>
      <c r="I7" s="23"/>
    </row>
    <row r="8" spans="1:7" ht="15.75">
      <c r="A8" s="27"/>
      <c r="B8" s="28"/>
      <c r="C8" s="29"/>
      <c r="D8" s="186" t="s">
        <v>38</v>
      </c>
      <c r="E8" s="187"/>
      <c r="F8" s="187"/>
      <c r="G8" s="188"/>
    </row>
    <row r="9" spans="1:7" ht="20.25" customHeight="1">
      <c r="A9" s="198" t="s">
        <v>36</v>
      </c>
      <c r="B9" s="199"/>
      <c r="C9" s="199"/>
      <c r="D9" s="199"/>
      <c r="E9" s="199"/>
      <c r="F9" s="199"/>
      <c r="G9" s="199"/>
    </row>
    <row r="10" spans="1:7" ht="15.75">
      <c r="A10" s="200" t="s">
        <v>15</v>
      </c>
      <c r="B10" s="202" t="s">
        <v>16</v>
      </c>
      <c r="C10" s="204" t="s">
        <v>17</v>
      </c>
      <c r="D10" s="200" t="s">
        <v>8</v>
      </c>
      <c r="E10" s="205" t="s">
        <v>21</v>
      </c>
      <c r="F10" s="205" t="s">
        <v>22</v>
      </c>
      <c r="G10" s="205"/>
    </row>
    <row r="11" spans="1:7" ht="15.75">
      <c r="A11" s="201"/>
      <c r="B11" s="203"/>
      <c r="C11" s="202"/>
      <c r="D11" s="201"/>
      <c r="E11" s="206"/>
      <c r="F11" s="30" t="s">
        <v>23</v>
      </c>
      <c r="G11" s="31" t="s">
        <v>2</v>
      </c>
    </row>
    <row r="12" spans="1:7" s="14" customFormat="1" ht="15.75">
      <c r="A12" s="32" t="s">
        <v>9</v>
      </c>
      <c r="B12" s="33"/>
      <c r="C12" s="34" t="s">
        <v>10</v>
      </c>
      <c r="D12" s="33"/>
      <c r="E12" s="33"/>
      <c r="F12" s="33"/>
      <c r="G12" s="35"/>
    </row>
    <row r="13" spans="1:8" s="179" customFormat="1" ht="30">
      <c r="A13" s="16" t="s">
        <v>3</v>
      </c>
      <c r="B13" s="13" t="s">
        <v>93</v>
      </c>
      <c r="C13" s="13" t="s">
        <v>94</v>
      </c>
      <c r="D13" s="24" t="s">
        <v>0</v>
      </c>
      <c r="E13" s="40">
        <f>1240*8.2</f>
        <v>10168</v>
      </c>
      <c r="F13" s="24">
        <f>TRUNC(F14,2)</f>
        <v>4.89</v>
      </c>
      <c r="G13" s="41">
        <f aca="true" t="shared" si="0" ref="G13:G25">TRUNC(E13*F13,2)</f>
        <v>49721.52</v>
      </c>
      <c r="H13" s="178"/>
    </row>
    <row r="14" spans="1:8" s="144" customFormat="1" ht="30">
      <c r="A14" s="36"/>
      <c r="B14" s="38" t="s">
        <v>93</v>
      </c>
      <c r="C14" s="38" t="s">
        <v>94</v>
      </c>
      <c r="D14" s="37" t="s">
        <v>0</v>
      </c>
      <c r="E14" s="142">
        <v>1</v>
      </c>
      <c r="F14" s="145">
        <f>G26</f>
        <v>4.89</v>
      </c>
      <c r="G14" s="39">
        <f t="shared" si="0"/>
        <v>4.89</v>
      </c>
      <c r="H14" s="143"/>
    </row>
    <row r="15" spans="1:8" s="144" customFormat="1" ht="23.25">
      <c r="A15" s="36"/>
      <c r="B15" s="38" t="s">
        <v>67</v>
      </c>
      <c r="C15" s="38" t="s">
        <v>55</v>
      </c>
      <c r="D15" s="37" t="s">
        <v>1</v>
      </c>
      <c r="E15" s="142">
        <v>0.0028</v>
      </c>
      <c r="F15" s="37">
        <f>TRUNC(9.08,2)</f>
        <v>9.08</v>
      </c>
      <c r="G15" s="39">
        <f t="shared" si="0"/>
        <v>0.02</v>
      </c>
      <c r="H15" s="143"/>
    </row>
    <row r="16" spans="1:8" s="144" customFormat="1" ht="23.25">
      <c r="A16" s="36"/>
      <c r="B16" s="38" t="s">
        <v>68</v>
      </c>
      <c r="C16" s="38" t="s">
        <v>31</v>
      </c>
      <c r="D16" s="37" t="s">
        <v>27</v>
      </c>
      <c r="E16" s="142">
        <v>0.0207</v>
      </c>
      <c r="F16" s="37">
        <f>TRUNC(19.6,2)</f>
        <v>19.6</v>
      </c>
      <c r="G16" s="39">
        <f t="shared" si="0"/>
        <v>0.4</v>
      </c>
      <c r="H16" s="143"/>
    </row>
    <row r="17" spans="1:8" s="144" customFormat="1" ht="23.25">
      <c r="A17" s="36"/>
      <c r="B17" s="38" t="s">
        <v>69</v>
      </c>
      <c r="C17" s="38" t="s">
        <v>56</v>
      </c>
      <c r="D17" s="37" t="s">
        <v>8</v>
      </c>
      <c r="E17" s="142">
        <v>0.0011</v>
      </c>
      <c r="F17" s="37">
        <f>TRUNC(347.06,2)</f>
        <v>347.06</v>
      </c>
      <c r="G17" s="39">
        <f t="shared" si="0"/>
        <v>0.38</v>
      </c>
      <c r="H17" s="143"/>
    </row>
    <row r="18" spans="1:8" s="144" customFormat="1" ht="23.25">
      <c r="A18" s="36"/>
      <c r="B18" s="38" t="s">
        <v>70</v>
      </c>
      <c r="C18" s="38" t="s">
        <v>57</v>
      </c>
      <c r="D18" s="37" t="s">
        <v>8</v>
      </c>
      <c r="E18" s="142">
        <v>0.0195</v>
      </c>
      <c r="F18" s="37">
        <f>TRUNC(36.86,2)</f>
        <v>36.86</v>
      </c>
      <c r="G18" s="39">
        <f t="shared" si="0"/>
        <v>0.71</v>
      </c>
      <c r="H18" s="143"/>
    </row>
    <row r="19" spans="1:8" s="144" customFormat="1" ht="23.25">
      <c r="A19" s="36"/>
      <c r="B19" s="38" t="s">
        <v>71</v>
      </c>
      <c r="C19" s="38" t="s">
        <v>58</v>
      </c>
      <c r="D19" s="37" t="s">
        <v>8</v>
      </c>
      <c r="E19" s="142">
        <v>0.0002</v>
      </c>
      <c r="F19" s="37">
        <f>TRUNC(1630.37,2)</f>
        <v>1630.37</v>
      </c>
      <c r="G19" s="39">
        <f t="shared" si="0"/>
        <v>0.32</v>
      </c>
      <c r="H19" s="143"/>
    </row>
    <row r="20" spans="1:8" s="144" customFormat="1" ht="30">
      <c r="A20" s="36"/>
      <c r="B20" s="38" t="s">
        <v>72</v>
      </c>
      <c r="C20" s="38" t="s">
        <v>73</v>
      </c>
      <c r="D20" s="37" t="s">
        <v>29</v>
      </c>
      <c r="E20" s="142">
        <v>0.0015</v>
      </c>
      <c r="F20" s="37">
        <f>TRUNC(93.04,2)</f>
        <v>93.04</v>
      </c>
      <c r="G20" s="39">
        <f t="shared" si="0"/>
        <v>0.13</v>
      </c>
      <c r="H20" s="143"/>
    </row>
    <row r="21" spans="1:8" s="144" customFormat="1" ht="30">
      <c r="A21" s="36"/>
      <c r="B21" s="38" t="s">
        <v>74</v>
      </c>
      <c r="C21" s="38" t="s">
        <v>75</v>
      </c>
      <c r="D21" s="37" t="s">
        <v>28</v>
      </c>
      <c r="E21" s="142">
        <v>0.0088</v>
      </c>
      <c r="F21" s="37">
        <f>TRUNC(41.56,2)</f>
        <v>41.56</v>
      </c>
      <c r="G21" s="39">
        <f t="shared" si="0"/>
        <v>0.36</v>
      </c>
      <c r="H21" s="143"/>
    </row>
    <row r="22" spans="1:8" s="144" customFormat="1" ht="30">
      <c r="A22" s="36"/>
      <c r="B22" s="38" t="s">
        <v>76</v>
      </c>
      <c r="C22" s="38" t="s">
        <v>77</v>
      </c>
      <c r="D22" s="37" t="s">
        <v>28</v>
      </c>
      <c r="E22" s="142">
        <v>0.0069</v>
      </c>
      <c r="F22" s="37">
        <f>TRUNC(118.4,2)</f>
        <v>118.4</v>
      </c>
      <c r="G22" s="39">
        <f t="shared" si="0"/>
        <v>0.81</v>
      </c>
      <c r="H22" s="143"/>
    </row>
    <row r="23" spans="1:8" s="144" customFormat="1" ht="30">
      <c r="A23" s="36"/>
      <c r="B23" s="38" t="s">
        <v>78</v>
      </c>
      <c r="C23" s="38" t="s">
        <v>79</v>
      </c>
      <c r="D23" s="37" t="s">
        <v>29</v>
      </c>
      <c r="E23" s="142">
        <v>0.0034</v>
      </c>
      <c r="F23" s="37">
        <f>TRUNC(366.43,2)</f>
        <v>366.43</v>
      </c>
      <c r="G23" s="39">
        <f t="shared" si="0"/>
        <v>1.24</v>
      </c>
      <c r="H23" s="143"/>
    </row>
    <row r="24" spans="1:8" s="144" customFormat="1" ht="45">
      <c r="A24" s="36"/>
      <c r="B24" s="38" t="s">
        <v>80</v>
      </c>
      <c r="C24" s="38" t="s">
        <v>81</v>
      </c>
      <c r="D24" s="37" t="s">
        <v>29</v>
      </c>
      <c r="E24" s="142">
        <v>0.0006</v>
      </c>
      <c r="F24" s="37">
        <f>TRUNC(153.09,2)</f>
        <v>153.09</v>
      </c>
      <c r="G24" s="39">
        <f t="shared" si="0"/>
        <v>0.09</v>
      </c>
      <c r="H24" s="143"/>
    </row>
    <row r="25" spans="1:8" s="144" customFormat="1" ht="45">
      <c r="A25" s="36"/>
      <c r="B25" s="38" t="s">
        <v>82</v>
      </c>
      <c r="C25" s="38" t="s">
        <v>83</v>
      </c>
      <c r="D25" s="37" t="s">
        <v>29</v>
      </c>
      <c r="E25" s="142">
        <v>0.0034</v>
      </c>
      <c r="F25" s="37">
        <f>TRUNC(126.7,2)</f>
        <v>126.7</v>
      </c>
      <c r="G25" s="39">
        <f t="shared" si="0"/>
        <v>0.43</v>
      </c>
      <c r="H25" s="143"/>
    </row>
    <row r="26" spans="1:8" s="144" customFormat="1" ht="23.25">
      <c r="A26" s="36"/>
      <c r="B26" s="38"/>
      <c r="C26" s="38"/>
      <c r="D26" s="37"/>
      <c r="E26" s="142" t="s">
        <v>2</v>
      </c>
      <c r="F26" s="37"/>
      <c r="G26" s="39">
        <f>TRUNC(SUM(G15:G25),2)</f>
        <v>4.89</v>
      </c>
      <c r="H26" s="143"/>
    </row>
    <row r="27" spans="1:8" s="181" customFormat="1" ht="76.5">
      <c r="A27" s="17" t="s">
        <v>4</v>
      </c>
      <c r="B27" s="43" t="s">
        <v>209</v>
      </c>
      <c r="C27" s="43" t="s">
        <v>211</v>
      </c>
      <c r="D27" s="42" t="s">
        <v>20</v>
      </c>
      <c r="E27" s="157">
        <f>TRUNC((E13*0.05*2.4*1.3*6.3),2)</f>
        <v>9993.11</v>
      </c>
      <c r="F27" s="48">
        <f>TRUNC(F28,2)</f>
        <v>0.83</v>
      </c>
      <c r="G27" s="41">
        <f>TRUNC(E27*F27,2)</f>
        <v>8294.28</v>
      </c>
      <c r="H27" s="180"/>
    </row>
    <row r="28" spans="1:8" s="151" customFormat="1" ht="60">
      <c r="A28" s="146"/>
      <c r="B28" s="147" t="s">
        <v>209</v>
      </c>
      <c r="C28" s="147" t="s">
        <v>210</v>
      </c>
      <c r="D28" s="148" t="s">
        <v>20</v>
      </c>
      <c r="E28" s="149">
        <v>1</v>
      </c>
      <c r="F28" s="152">
        <f>G30</f>
        <v>0.83</v>
      </c>
      <c r="G28" s="39">
        <f>TRUNC(E28*F28,2)</f>
        <v>0.83</v>
      </c>
      <c r="H28" s="150"/>
    </row>
    <row r="29" spans="1:8" s="151" customFormat="1" ht="21">
      <c r="A29" s="146"/>
      <c r="B29" s="147" t="s">
        <v>120</v>
      </c>
      <c r="C29" s="147" t="s">
        <v>121</v>
      </c>
      <c r="D29" s="148" t="s">
        <v>27</v>
      </c>
      <c r="E29" s="149">
        <v>0.0063</v>
      </c>
      <c r="F29" s="152">
        <f>TRUNC(132.4155,2)</f>
        <v>132.41</v>
      </c>
      <c r="G29" s="39">
        <f>TRUNC(E29*F29,2)</f>
        <v>0.83</v>
      </c>
      <c r="H29" s="150"/>
    </row>
    <row r="30" spans="1:8" s="151" customFormat="1" ht="21">
      <c r="A30" s="146"/>
      <c r="B30" s="147"/>
      <c r="C30" s="147"/>
      <c r="D30" s="148"/>
      <c r="E30" s="149" t="s">
        <v>2</v>
      </c>
      <c r="F30" s="152"/>
      <c r="G30" s="39">
        <f>TRUNC(SUM(G29:G29),2)</f>
        <v>0.83</v>
      </c>
      <c r="H30" s="150"/>
    </row>
    <row r="31" spans="1:8" s="179" customFormat="1" ht="91.5">
      <c r="A31" s="16" t="s">
        <v>5</v>
      </c>
      <c r="B31" s="13" t="s">
        <v>117</v>
      </c>
      <c r="C31" s="13" t="s">
        <v>178</v>
      </c>
      <c r="D31" s="24" t="s">
        <v>19</v>
      </c>
      <c r="E31" s="40">
        <f>TRUNC((10168*0.033*8),2)</f>
        <v>2684.35</v>
      </c>
      <c r="F31" s="24">
        <f>TRUNC(F32,2)</f>
        <v>8.39</v>
      </c>
      <c r="G31" s="41">
        <f aca="true" t="shared" si="1" ref="G31:G36">TRUNC(E31*F31,2)</f>
        <v>22521.69</v>
      </c>
      <c r="H31" s="178"/>
    </row>
    <row r="32" spans="1:8" s="144" customFormat="1" ht="75">
      <c r="A32" s="36"/>
      <c r="B32" s="38" t="s">
        <v>117</v>
      </c>
      <c r="C32" s="38" t="s">
        <v>65</v>
      </c>
      <c r="D32" s="37" t="s">
        <v>19</v>
      </c>
      <c r="E32" s="142">
        <v>1</v>
      </c>
      <c r="F32" s="145">
        <f>G37</f>
        <v>8.39</v>
      </c>
      <c r="G32" s="39">
        <f t="shared" si="1"/>
        <v>8.39</v>
      </c>
      <c r="H32" s="143"/>
    </row>
    <row r="33" spans="1:8" s="144" customFormat="1" ht="23.25">
      <c r="A33" s="36"/>
      <c r="B33" s="38" t="s">
        <v>118</v>
      </c>
      <c r="C33" s="38" t="s">
        <v>119</v>
      </c>
      <c r="D33" s="37" t="s">
        <v>27</v>
      </c>
      <c r="E33" s="142">
        <v>0.02</v>
      </c>
      <c r="F33" s="145">
        <f>TRUNC(46.5327,2)</f>
        <v>46.53</v>
      </c>
      <c r="G33" s="39">
        <f t="shared" si="1"/>
        <v>0.93</v>
      </c>
      <c r="H33" s="143"/>
    </row>
    <row r="34" spans="1:8" s="144" customFormat="1" ht="23.25">
      <c r="A34" s="36"/>
      <c r="B34" s="38" t="s">
        <v>120</v>
      </c>
      <c r="C34" s="38" t="s">
        <v>121</v>
      </c>
      <c r="D34" s="37" t="s">
        <v>27</v>
      </c>
      <c r="E34" s="142">
        <v>0.007</v>
      </c>
      <c r="F34" s="145">
        <f>TRUNC(132.4155,2)</f>
        <v>132.41</v>
      </c>
      <c r="G34" s="39">
        <f t="shared" si="1"/>
        <v>0.92</v>
      </c>
      <c r="H34" s="143"/>
    </row>
    <row r="35" spans="1:8" s="144" customFormat="1" ht="23.25">
      <c r="A35" s="36"/>
      <c r="B35" s="38" t="s">
        <v>113</v>
      </c>
      <c r="C35" s="38" t="s">
        <v>114</v>
      </c>
      <c r="D35" s="37" t="s">
        <v>27</v>
      </c>
      <c r="E35" s="142">
        <v>0.07</v>
      </c>
      <c r="F35" s="145">
        <f>TRUNC(52.1599,2)</f>
        <v>52.15</v>
      </c>
      <c r="G35" s="39">
        <f t="shared" si="1"/>
        <v>3.65</v>
      </c>
      <c r="H35" s="143"/>
    </row>
    <row r="36" spans="1:8" s="144" customFormat="1" ht="23.25">
      <c r="A36" s="36"/>
      <c r="B36" s="38" t="s">
        <v>115</v>
      </c>
      <c r="C36" s="38" t="s">
        <v>116</v>
      </c>
      <c r="D36" s="37" t="s">
        <v>27</v>
      </c>
      <c r="E36" s="142">
        <v>0.02</v>
      </c>
      <c r="F36" s="145">
        <f>TRUNC(144.7552,2)</f>
        <v>144.75</v>
      </c>
      <c r="G36" s="39">
        <f t="shared" si="1"/>
        <v>2.89</v>
      </c>
      <c r="H36" s="143"/>
    </row>
    <row r="37" spans="1:8" s="144" customFormat="1" ht="23.25">
      <c r="A37" s="36"/>
      <c r="B37" s="38"/>
      <c r="C37" s="38"/>
      <c r="D37" s="37"/>
      <c r="E37" s="142" t="s">
        <v>2</v>
      </c>
      <c r="F37" s="145"/>
      <c r="G37" s="39">
        <f>TRUNC(SUM(G33:G36),2)</f>
        <v>8.39</v>
      </c>
      <c r="H37" s="143"/>
    </row>
    <row r="38" spans="1:8" s="181" customFormat="1" ht="60.75">
      <c r="A38" s="17" t="s">
        <v>6</v>
      </c>
      <c r="B38" s="43" t="s">
        <v>184</v>
      </c>
      <c r="C38" s="43" t="s">
        <v>188</v>
      </c>
      <c r="D38" s="42" t="s">
        <v>130</v>
      </c>
      <c r="E38" s="157">
        <f>TRUNC((E31*6.3),2)</f>
        <v>16911.4</v>
      </c>
      <c r="F38" s="48">
        <f>TRUNC(F39,2)</f>
        <v>0.66</v>
      </c>
      <c r="G38" s="41">
        <f>TRUNC(E38*F38,2)</f>
        <v>11161.52</v>
      </c>
      <c r="H38" s="180"/>
    </row>
    <row r="39" spans="1:8" s="151" customFormat="1" ht="60">
      <c r="A39" s="146"/>
      <c r="B39" s="147" t="s">
        <v>184</v>
      </c>
      <c r="C39" s="147" t="s">
        <v>185</v>
      </c>
      <c r="D39" s="148" t="s">
        <v>20</v>
      </c>
      <c r="E39" s="149">
        <v>1</v>
      </c>
      <c r="F39" s="152">
        <f>TRUNC(0.66622248,2)</f>
        <v>0.66</v>
      </c>
      <c r="G39" s="39">
        <f>TRUNC(E39*F39,2)</f>
        <v>0.66</v>
      </c>
      <c r="H39" s="150"/>
    </row>
    <row r="40" spans="1:8" s="151" customFormat="1" ht="21">
      <c r="A40" s="146"/>
      <c r="B40" s="147" t="s">
        <v>186</v>
      </c>
      <c r="C40" s="147" t="s">
        <v>187</v>
      </c>
      <c r="D40" s="148" t="s">
        <v>27</v>
      </c>
      <c r="E40" s="149">
        <v>0.0042</v>
      </c>
      <c r="F40" s="152">
        <f>TRUNC(158.6244,2)</f>
        <v>158.62</v>
      </c>
      <c r="G40" s="39">
        <f>TRUNC(E40*F40,2)</f>
        <v>0.66</v>
      </c>
      <c r="H40" s="150"/>
    </row>
    <row r="41" spans="1:8" s="151" customFormat="1" ht="21">
      <c r="A41" s="146"/>
      <c r="B41" s="147"/>
      <c r="C41" s="147"/>
      <c r="D41" s="148"/>
      <c r="E41" s="149" t="s">
        <v>2</v>
      </c>
      <c r="F41" s="152"/>
      <c r="G41" s="39">
        <f>TRUNC(SUM(G40:G40),2)</f>
        <v>0.66</v>
      </c>
      <c r="H41" s="150"/>
    </row>
    <row r="42" spans="1:8" s="181" customFormat="1" ht="60">
      <c r="A42" s="17" t="s">
        <v>7</v>
      </c>
      <c r="B42" s="43" t="s">
        <v>149</v>
      </c>
      <c r="C42" s="43" t="s">
        <v>150</v>
      </c>
      <c r="D42" s="42" t="s">
        <v>1</v>
      </c>
      <c r="E42" s="157">
        <f>TRUNC((10168*0.15),2)</f>
        <v>1525.2</v>
      </c>
      <c r="F42" s="48">
        <f>TRUNC(F43,2)</f>
        <v>17.1</v>
      </c>
      <c r="G42" s="41">
        <f>TRUNC(E42*F42,2)</f>
        <v>26080.92</v>
      </c>
      <c r="H42" s="180"/>
    </row>
    <row r="43" spans="1:8" s="151" customFormat="1" ht="60">
      <c r="A43" s="146"/>
      <c r="B43" s="147" t="s">
        <v>149</v>
      </c>
      <c r="C43" s="147" t="s">
        <v>150</v>
      </c>
      <c r="D43" s="148" t="s">
        <v>1</v>
      </c>
      <c r="E43" s="149">
        <v>1</v>
      </c>
      <c r="F43" s="152">
        <f>G47</f>
        <v>17.1</v>
      </c>
      <c r="G43" s="39">
        <f>TRUNC(E43*F43,2)</f>
        <v>17.1</v>
      </c>
      <c r="H43" s="150"/>
    </row>
    <row r="44" spans="1:8" s="151" customFormat="1" ht="21">
      <c r="A44" s="146"/>
      <c r="B44" s="147" t="s">
        <v>33</v>
      </c>
      <c r="C44" s="147" t="s">
        <v>34</v>
      </c>
      <c r="D44" s="148" t="s">
        <v>27</v>
      </c>
      <c r="E44" s="149">
        <v>0.14</v>
      </c>
      <c r="F44" s="152">
        <f>TRUNC(15.09,2)</f>
        <v>15.09</v>
      </c>
      <c r="G44" s="39">
        <f>TRUNC(E44*F44,2)</f>
        <v>2.11</v>
      </c>
      <c r="H44" s="150"/>
    </row>
    <row r="45" spans="1:8" s="151" customFormat="1" ht="21">
      <c r="A45" s="146"/>
      <c r="B45" s="147" t="s">
        <v>151</v>
      </c>
      <c r="C45" s="147" t="s">
        <v>152</v>
      </c>
      <c r="D45" s="148" t="s">
        <v>27</v>
      </c>
      <c r="E45" s="149">
        <v>0.021</v>
      </c>
      <c r="F45" s="152">
        <f>TRUNC(42.6583,2)</f>
        <v>42.65</v>
      </c>
      <c r="G45" s="39">
        <f>TRUNC(E45*F45,2)</f>
        <v>0.89</v>
      </c>
      <c r="H45" s="150"/>
    </row>
    <row r="46" spans="1:8" s="151" customFormat="1" ht="21">
      <c r="A46" s="146"/>
      <c r="B46" s="147" t="s">
        <v>153</v>
      </c>
      <c r="C46" s="147" t="s">
        <v>154</v>
      </c>
      <c r="D46" s="148" t="s">
        <v>27</v>
      </c>
      <c r="E46" s="149">
        <v>0.119</v>
      </c>
      <c r="F46" s="152">
        <f>TRUNC(118.4912,2)</f>
        <v>118.49</v>
      </c>
      <c r="G46" s="39">
        <f>TRUNC(E46*F46,2)</f>
        <v>14.1</v>
      </c>
      <c r="H46" s="150"/>
    </row>
    <row r="47" spans="1:8" s="151" customFormat="1" ht="21">
      <c r="A47" s="146"/>
      <c r="B47" s="147"/>
      <c r="C47" s="147"/>
      <c r="D47" s="148"/>
      <c r="E47" s="149" t="s">
        <v>2</v>
      </c>
      <c r="F47" s="152"/>
      <c r="G47" s="39">
        <f>TRUNC(SUM(G44:G46),2)</f>
        <v>17.1</v>
      </c>
      <c r="H47" s="150"/>
    </row>
    <row r="48" spans="1:8" s="181" customFormat="1" ht="60">
      <c r="A48" s="17" t="s">
        <v>18</v>
      </c>
      <c r="B48" s="43" t="s">
        <v>155</v>
      </c>
      <c r="C48" s="43" t="s">
        <v>180</v>
      </c>
      <c r="D48" s="42" t="s">
        <v>20</v>
      </c>
      <c r="E48" s="157">
        <f>TRUNC((E42*1.3*1.8*7.3),2)</f>
        <v>26053.46</v>
      </c>
      <c r="F48" s="48">
        <f>TRUNC(F49,2)</f>
        <v>0.46</v>
      </c>
      <c r="G48" s="41">
        <f>TRUNC(E48*F48,2)</f>
        <v>11984.59</v>
      </c>
      <c r="H48" s="180"/>
    </row>
    <row r="49" spans="1:8" s="151" customFormat="1" ht="60">
      <c r="A49" s="146"/>
      <c r="B49" s="147" t="s">
        <v>155</v>
      </c>
      <c r="C49" s="147" t="s">
        <v>156</v>
      </c>
      <c r="D49" s="148" t="s">
        <v>20</v>
      </c>
      <c r="E49" s="149">
        <v>1</v>
      </c>
      <c r="F49" s="152">
        <f>TRUNC(0.46684345,2)</f>
        <v>0.46</v>
      </c>
      <c r="G49" s="39">
        <f>TRUNC(E49*F49,2)</f>
        <v>0.46</v>
      </c>
      <c r="H49" s="150"/>
    </row>
    <row r="50" spans="1:8" s="151" customFormat="1" ht="21">
      <c r="A50" s="146"/>
      <c r="B50" s="147" t="s">
        <v>157</v>
      </c>
      <c r="C50" s="147" t="s">
        <v>158</v>
      </c>
      <c r="D50" s="148" t="s">
        <v>27</v>
      </c>
      <c r="E50" s="149">
        <v>0.0029</v>
      </c>
      <c r="F50" s="152">
        <f>TRUNC(160.9805,2)</f>
        <v>160.98</v>
      </c>
      <c r="G50" s="39">
        <f>TRUNC(E50*F50,2)</f>
        <v>0.46</v>
      </c>
      <c r="H50" s="150"/>
    </row>
    <row r="51" spans="1:8" s="151" customFormat="1" ht="21">
      <c r="A51" s="146"/>
      <c r="B51" s="147"/>
      <c r="C51" s="147"/>
      <c r="D51" s="148"/>
      <c r="E51" s="149" t="s">
        <v>2</v>
      </c>
      <c r="F51" s="152"/>
      <c r="G51" s="39">
        <f>TRUNC(SUM(G50:G50),2)</f>
        <v>0.46</v>
      </c>
      <c r="H51" s="150"/>
    </row>
    <row r="52" spans="1:8" s="181" customFormat="1" ht="45">
      <c r="A52" s="17" t="s">
        <v>173</v>
      </c>
      <c r="B52" s="43" t="s">
        <v>131</v>
      </c>
      <c r="C52" s="43" t="s">
        <v>132</v>
      </c>
      <c r="D52" s="42" t="s">
        <v>1</v>
      </c>
      <c r="E52" s="157">
        <f>E42</f>
        <v>1525.2</v>
      </c>
      <c r="F52" s="48">
        <f>TRUNC(F53,2)</f>
        <v>75.97</v>
      </c>
      <c r="G52" s="41">
        <f aca="true" t="shared" si="2" ref="G52:G66">TRUNC(E52*F52,2)</f>
        <v>115869.44</v>
      </c>
      <c r="H52" s="180"/>
    </row>
    <row r="53" spans="2:7" s="158" customFormat="1" ht="30">
      <c r="B53" s="158" t="s">
        <v>131</v>
      </c>
      <c r="C53" s="159" t="s">
        <v>132</v>
      </c>
      <c r="D53" s="158" t="s">
        <v>1</v>
      </c>
      <c r="E53" s="158">
        <v>1</v>
      </c>
      <c r="F53" s="158">
        <f>G67</f>
        <v>75.97</v>
      </c>
      <c r="G53" s="158">
        <f t="shared" si="2"/>
        <v>75.97</v>
      </c>
    </row>
    <row r="54" spans="2:7" s="158" customFormat="1" ht="15">
      <c r="B54" s="158" t="s">
        <v>133</v>
      </c>
      <c r="C54" s="159" t="s">
        <v>134</v>
      </c>
      <c r="D54" s="158" t="s">
        <v>1</v>
      </c>
      <c r="E54" s="158">
        <v>1.4</v>
      </c>
      <c r="F54" s="158">
        <f>TRUNC(10.44,2)</f>
        <v>10.44</v>
      </c>
      <c r="G54" s="158">
        <f t="shared" si="2"/>
        <v>14.61</v>
      </c>
    </row>
    <row r="55" spans="2:7" s="158" customFormat="1" ht="15">
      <c r="B55" s="158" t="s">
        <v>33</v>
      </c>
      <c r="C55" s="159" t="s">
        <v>34</v>
      </c>
      <c r="D55" s="158" t="s">
        <v>27</v>
      </c>
      <c r="E55" s="158">
        <v>0.10300000000000001</v>
      </c>
      <c r="F55" s="158">
        <f>TRUNC(15.09,2)</f>
        <v>15.09</v>
      </c>
      <c r="G55" s="158">
        <f t="shared" si="2"/>
        <v>1.55</v>
      </c>
    </row>
    <row r="56" spans="2:7" s="158" customFormat="1" ht="15">
      <c r="B56" s="158" t="s">
        <v>135</v>
      </c>
      <c r="C56" s="159" t="s">
        <v>136</v>
      </c>
      <c r="D56" s="158" t="s">
        <v>19</v>
      </c>
      <c r="E56" s="158">
        <v>2.492</v>
      </c>
      <c r="F56" s="158">
        <f>TRUNC(0.5881,2)</f>
        <v>0.58</v>
      </c>
      <c r="G56" s="158">
        <f t="shared" si="2"/>
        <v>1.44</v>
      </c>
    </row>
    <row r="57" spans="2:7" s="158" customFormat="1" ht="15">
      <c r="B57" s="158" t="s">
        <v>137</v>
      </c>
      <c r="C57" s="159" t="s">
        <v>138</v>
      </c>
      <c r="D57" s="158" t="s">
        <v>20</v>
      </c>
      <c r="E57" s="158">
        <v>49.84</v>
      </c>
      <c r="F57" s="158">
        <f>TRUNC(0.8882,2)</f>
        <v>0.88</v>
      </c>
      <c r="G57" s="158">
        <f t="shared" si="2"/>
        <v>43.85</v>
      </c>
    </row>
    <row r="58" spans="2:7" s="158" customFormat="1" ht="15">
      <c r="B58" s="158" t="s">
        <v>96</v>
      </c>
      <c r="C58" s="159" t="s">
        <v>97</v>
      </c>
      <c r="D58" s="158" t="s">
        <v>27</v>
      </c>
      <c r="E58" s="158">
        <v>0.005</v>
      </c>
      <c r="F58" s="158">
        <f>TRUNC(53.1417,2)</f>
        <v>53.14</v>
      </c>
      <c r="G58" s="158">
        <f t="shared" si="2"/>
        <v>0.26</v>
      </c>
    </row>
    <row r="59" spans="2:7" s="158" customFormat="1" ht="15">
      <c r="B59" s="158" t="s">
        <v>98</v>
      </c>
      <c r="C59" s="159" t="s">
        <v>99</v>
      </c>
      <c r="D59" s="158" t="s">
        <v>27</v>
      </c>
      <c r="E59" s="158">
        <v>0.02</v>
      </c>
      <c r="F59" s="158">
        <f>TRUNC(113.063,2)</f>
        <v>113.06</v>
      </c>
      <c r="G59" s="158">
        <f t="shared" si="2"/>
        <v>2.26</v>
      </c>
    </row>
    <row r="60" spans="2:7" s="158" customFormat="1" ht="15">
      <c r="B60" s="158" t="s">
        <v>113</v>
      </c>
      <c r="C60" s="159" t="s">
        <v>114</v>
      </c>
      <c r="D60" s="158" t="s">
        <v>27</v>
      </c>
      <c r="E60" s="158">
        <v>0.0062</v>
      </c>
      <c r="F60" s="158">
        <f>TRUNC(52.1599,2)</f>
        <v>52.15</v>
      </c>
      <c r="G60" s="158">
        <f t="shared" si="2"/>
        <v>0.32</v>
      </c>
    </row>
    <row r="61" spans="2:7" s="158" customFormat="1" ht="15">
      <c r="B61" s="158" t="s">
        <v>115</v>
      </c>
      <c r="C61" s="159" t="s">
        <v>116</v>
      </c>
      <c r="D61" s="158" t="s">
        <v>27</v>
      </c>
      <c r="E61" s="158">
        <v>0.0188</v>
      </c>
      <c r="F61" s="158">
        <f>TRUNC(144.7552,2)</f>
        <v>144.75</v>
      </c>
      <c r="G61" s="158">
        <f t="shared" si="2"/>
        <v>2.72</v>
      </c>
    </row>
    <row r="62" spans="2:7" s="158" customFormat="1" ht="15">
      <c r="B62" s="158" t="s">
        <v>139</v>
      </c>
      <c r="C62" s="159" t="s">
        <v>140</v>
      </c>
      <c r="D62" s="158" t="s">
        <v>27</v>
      </c>
      <c r="E62" s="158">
        <v>0.025</v>
      </c>
      <c r="F62" s="158">
        <f>TRUNC(7.5488,2)</f>
        <v>7.54</v>
      </c>
      <c r="G62" s="158">
        <f t="shared" si="2"/>
        <v>0.18</v>
      </c>
    </row>
    <row r="63" spans="2:7" s="158" customFormat="1" ht="15">
      <c r="B63" s="158" t="s">
        <v>141</v>
      </c>
      <c r="C63" s="159" t="s">
        <v>142</v>
      </c>
      <c r="D63" s="158" t="s">
        <v>27</v>
      </c>
      <c r="E63" s="158">
        <v>0.0062</v>
      </c>
      <c r="F63" s="158">
        <f>TRUNC(42.585,2)</f>
        <v>42.58</v>
      </c>
      <c r="G63" s="158">
        <f t="shared" si="2"/>
        <v>0.26</v>
      </c>
    </row>
    <row r="64" spans="2:7" s="158" customFormat="1" ht="15">
      <c r="B64" s="158" t="s">
        <v>143</v>
      </c>
      <c r="C64" s="159" t="s">
        <v>144</v>
      </c>
      <c r="D64" s="158" t="s">
        <v>27</v>
      </c>
      <c r="E64" s="158">
        <v>0.0188</v>
      </c>
      <c r="F64" s="158">
        <f>TRUNC(97.541,2)</f>
        <v>97.54</v>
      </c>
      <c r="G64" s="158">
        <f t="shared" si="2"/>
        <v>1.83</v>
      </c>
    </row>
    <row r="65" spans="2:7" s="158" customFormat="1" ht="15">
      <c r="B65" s="158" t="s">
        <v>145</v>
      </c>
      <c r="C65" s="159" t="s">
        <v>146</v>
      </c>
      <c r="D65" s="158" t="s">
        <v>27</v>
      </c>
      <c r="E65" s="158">
        <v>0.0375</v>
      </c>
      <c r="F65" s="158">
        <f>TRUNC(46.6125,2)</f>
        <v>46.61</v>
      </c>
      <c r="G65" s="158">
        <f t="shared" si="2"/>
        <v>1.74</v>
      </c>
    </row>
    <row r="66" spans="2:7" s="158" customFormat="1" ht="15">
      <c r="B66" s="158" t="s">
        <v>147</v>
      </c>
      <c r="C66" s="159" t="s">
        <v>148</v>
      </c>
      <c r="D66" s="158" t="s">
        <v>27</v>
      </c>
      <c r="E66" s="158">
        <v>0.0375</v>
      </c>
      <c r="F66" s="158">
        <f>TRUNC(132.1772,2)</f>
        <v>132.17</v>
      </c>
      <c r="G66" s="158">
        <f t="shared" si="2"/>
        <v>4.95</v>
      </c>
    </row>
    <row r="67" spans="3:7" s="158" customFormat="1" ht="15">
      <c r="C67" s="159"/>
      <c r="E67" s="158" t="s">
        <v>2</v>
      </c>
      <c r="G67" s="158">
        <f>TRUNC(SUM(G54:G66),2)</f>
        <v>75.97</v>
      </c>
    </row>
    <row r="68" spans="1:8" s="181" customFormat="1" ht="30">
      <c r="A68" s="17" t="s">
        <v>174</v>
      </c>
      <c r="B68" s="43" t="s">
        <v>159</v>
      </c>
      <c r="C68" s="43" t="s">
        <v>160</v>
      </c>
      <c r="D68" s="42" t="s">
        <v>0</v>
      </c>
      <c r="E68" s="157">
        <v>10168</v>
      </c>
      <c r="F68" s="48">
        <f>TRUNC(F69,2)</f>
        <v>0.74</v>
      </c>
      <c r="G68" s="41">
        <f aca="true" t="shared" si="3" ref="G68:G76">TRUNC(E68*F68,2)</f>
        <v>7524.32</v>
      </c>
      <c r="H68" s="180"/>
    </row>
    <row r="69" spans="2:7" ht="15">
      <c r="B69" t="s">
        <v>159</v>
      </c>
      <c r="C69" s="1" t="s">
        <v>160</v>
      </c>
      <c r="D69" t="s">
        <v>0</v>
      </c>
      <c r="E69">
        <v>1</v>
      </c>
      <c r="F69">
        <f>G77</f>
        <v>0.74</v>
      </c>
      <c r="G69">
        <f t="shared" si="3"/>
        <v>0.74</v>
      </c>
    </row>
    <row r="70" spans="2:7" ht="15">
      <c r="B70" t="s">
        <v>123</v>
      </c>
      <c r="C70" s="1" t="s">
        <v>31</v>
      </c>
      <c r="D70" t="s">
        <v>27</v>
      </c>
      <c r="E70">
        <v>0.003</v>
      </c>
      <c r="F70">
        <f>TRUNC(21.67,2)</f>
        <v>21.67</v>
      </c>
      <c r="G70">
        <f t="shared" si="3"/>
        <v>0.06</v>
      </c>
    </row>
    <row r="71" spans="2:7" ht="30">
      <c r="B71" t="s">
        <v>161</v>
      </c>
      <c r="C71" s="1" t="s">
        <v>162</v>
      </c>
      <c r="D71" t="s">
        <v>28</v>
      </c>
      <c r="E71">
        <v>0.002</v>
      </c>
      <c r="F71">
        <f>TRUNC(55.65,2)</f>
        <v>55.65</v>
      </c>
      <c r="G71">
        <f t="shared" si="3"/>
        <v>0.11</v>
      </c>
    </row>
    <row r="72" spans="2:7" ht="30">
      <c r="B72" t="s">
        <v>163</v>
      </c>
      <c r="C72" s="1" t="s">
        <v>164</v>
      </c>
      <c r="D72" t="s">
        <v>29</v>
      </c>
      <c r="E72">
        <v>0.001</v>
      </c>
      <c r="F72">
        <f>TRUNC(127.64,2)</f>
        <v>127.64</v>
      </c>
      <c r="G72">
        <f t="shared" si="3"/>
        <v>0.12</v>
      </c>
    </row>
    <row r="73" spans="2:7" ht="30">
      <c r="B73" t="s">
        <v>165</v>
      </c>
      <c r="C73" s="1" t="s">
        <v>166</v>
      </c>
      <c r="D73" t="s">
        <v>28</v>
      </c>
      <c r="E73">
        <v>0.003</v>
      </c>
      <c r="F73">
        <f>TRUNC(61.84,2)</f>
        <v>61.84</v>
      </c>
      <c r="G73">
        <f t="shared" si="3"/>
        <v>0.18</v>
      </c>
    </row>
    <row r="74" spans="2:7" ht="30">
      <c r="B74" t="s">
        <v>167</v>
      </c>
      <c r="C74" s="1" t="s">
        <v>168</v>
      </c>
      <c r="D74" t="s">
        <v>29</v>
      </c>
      <c r="E74">
        <v>0.0001</v>
      </c>
      <c r="F74">
        <f>TRUNC(154.46,2)</f>
        <v>154.46</v>
      </c>
      <c r="G74">
        <f t="shared" si="3"/>
        <v>0.01</v>
      </c>
    </row>
    <row r="75" spans="2:7" ht="45">
      <c r="B75" t="s">
        <v>169</v>
      </c>
      <c r="C75" s="1" t="s">
        <v>170</v>
      </c>
      <c r="D75" t="s">
        <v>28</v>
      </c>
      <c r="E75">
        <v>0.002</v>
      </c>
      <c r="F75">
        <f>TRUNC(41.74,2)</f>
        <v>41.74</v>
      </c>
      <c r="G75">
        <f t="shared" si="3"/>
        <v>0.08</v>
      </c>
    </row>
    <row r="76" spans="2:7" ht="45">
      <c r="B76" t="s">
        <v>171</v>
      </c>
      <c r="C76" s="1" t="s">
        <v>172</v>
      </c>
      <c r="D76" t="s">
        <v>29</v>
      </c>
      <c r="E76">
        <v>0.001</v>
      </c>
      <c r="F76">
        <f>TRUNC(186.26,2)</f>
        <v>186.26</v>
      </c>
      <c r="G76">
        <f t="shared" si="3"/>
        <v>0.18</v>
      </c>
    </row>
    <row r="77" spans="5:7" ht="15">
      <c r="E77" t="s">
        <v>2</v>
      </c>
      <c r="G77">
        <f>TRUNC(SUM(G70:G76),2)</f>
        <v>0.74</v>
      </c>
    </row>
    <row r="78" spans="1:8" s="181" customFormat="1" ht="30">
      <c r="A78" s="17" t="s">
        <v>175</v>
      </c>
      <c r="B78" s="43" t="s">
        <v>205</v>
      </c>
      <c r="C78" s="43" t="s">
        <v>206</v>
      </c>
      <c r="D78" s="42" t="s">
        <v>0</v>
      </c>
      <c r="E78" s="50">
        <f>E13</f>
        <v>10168</v>
      </c>
      <c r="F78" s="48">
        <f>TRUNC(F79,2)</f>
        <v>1.74</v>
      </c>
      <c r="G78" s="41">
        <f aca="true" t="shared" si="4" ref="G78:G87">TRUNC(E78*F78,2)</f>
        <v>17692.32</v>
      </c>
      <c r="H78" s="180"/>
    </row>
    <row r="79" spans="1:8" s="151" customFormat="1" ht="21">
      <c r="A79" s="146"/>
      <c r="B79" s="147" t="s">
        <v>189</v>
      </c>
      <c r="C79" s="147" t="s">
        <v>190</v>
      </c>
      <c r="D79" s="148" t="s">
        <v>0</v>
      </c>
      <c r="E79" s="149">
        <v>1</v>
      </c>
      <c r="F79" s="152">
        <f>G88</f>
        <v>1.74</v>
      </c>
      <c r="G79" s="39">
        <f t="shared" si="4"/>
        <v>1.74</v>
      </c>
      <c r="H79" s="150"/>
    </row>
    <row r="80" spans="1:8" s="175" customFormat="1" ht="31.5">
      <c r="A80" s="169"/>
      <c r="B80" s="170" t="s">
        <v>203</v>
      </c>
      <c r="C80" s="170" t="s">
        <v>204</v>
      </c>
      <c r="D80" s="171" t="s">
        <v>26</v>
      </c>
      <c r="E80" s="172">
        <v>0.45</v>
      </c>
      <c r="F80" s="173">
        <v>2.25</v>
      </c>
      <c r="G80" s="174">
        <f t="shared" si="4"/>
        <v>1.01</v>
      </c>
      <c r="H80" s="150"/>
    </row>
    <row r="81" spans="1:8" s="151" customFormat="1" ht="21">
      <c r="A81" s="146"/>
      <c r="B81" s="147" t="s">
        <v>123</v>
      </c>
      <c r="C81" s="147" t="s">
        <v>31</v>
      </c>
      <c r="D81" s="148" t="s">
        <v>27</v>
      </c>
      <c r="E81" s="149">
        <v>0.006</v>
      </c>
      <c r="F81" s="152">
        <f>TRUNC(21.67,2)</f>
        <v>21.67</v>
      </c>
      <c r="G81" s="39">
        <f t="shared" si="4"/>
        <v>0.13</v>
      </c>
      <c r="H81" s="150"/>
    </row>
    <row r="82" spans="1:8" s="151" customFormat="1" ht="60">
      <c r="A82" s="146"/>
      <c r="B82" s="147" t="s">
        <v>191</v>
      </c>
      <c r="C82" s="147" t="s">
        <v>192</v>
      </c>
      <c r="D82" s="148" t="s">
        <v>28</v>
      </c>
      <c r="E82" s="149">
        <v>0.005</v>
      </c>
      <c r="F82" s="152">
        <f>TRUNC(43.05,2)</f>
        <v>43.05</v>
      </c>
      <c r="G82" s="39">
        <f t="shared" si="4"/>
        <v>0.21</v>
      </c>
      <c r="H82" s="150"/>
    </row>
    <row r="83" spans="1:8" s="151" customFormat="1" ht="30">
      <c r="A83" s="146"/>
      <c r="B83" s="147" t="s">
        <v>193</v>
      </c>
      <c r="C83" s="147" t="s">
        <v>194</v>
      </c>
      <c r="D83" s="148" t="s">
        <v>28</v>
      </c>
      <c r="E83" s="149">
        <v>0.004</v>
      </c>
      <c r="F83" s="152">
        <f>TRUNC(34.92,2)</f>
        <v>34.92</v>
      </c>
      <c r="G83" s="39">
        <f t="shared" si="4"/>
        <v>0.13</v>
      </c>
      <c r="H83" s="150"/>
    </row>
    <row r="84" spans="1:8" s="151" customFormat="1" ht="30">
      <c r="A84" s="146"/>
      <c r="B84" s="147" t="s">
        <v>195</v>
      </c>
      <c r="C84" s="147" t="s">
        <v>196</v>
      </c>
      <c r="D84" s="148" t="s">
        <v>29</v>
      </c>
      <c r="E84" s="149">
        <v>0.002</v>
      </c>
      <c r="F84" s="152">
        <f>TRUNC(116.46,2)</f>
        <v>116.46</v>
      </c>
      <c r="G84" s="39">
        <f t="shared" si="4"/>
        <v>0.23</v>
      </c>
      <c r="H84" s="150"/>
    </row>
    <row r="85" spans="1:8" s="151" customFormat="1" ht="60">
      <c r="A85" s="146"/>
      <c r="B85" s="147" t="s">
        <v>197</v>
      </c>
      <c r="C85" s="147" t="s">
        <v>198</v>
      </c>
      <c r="D85" s="148" t="s">
        <v>29</v>
      </c>
      <c r="E85" s="149">
        <v>0.0001</v>
      </c>
      <c r="F85" s="152">
        <f>TRUNC(187.91,2)</f>
        <v>187.91</v>
      </c>
      <c r="G85" s="39">
        <f t="shared" si="4"/>
        <v>0.01</v>
      </c>
      <c r="H85" s="150"/>
    </row>
    <row r="86" spans="1:8" s="151" customFormat="1" ht="30">
      <c r="A86" s="146"/>
      <c r="B86" s="147" t="s">
        <v>199</v>
      </c>
      <c r="C86" s="147" t="s">
        <v>200</v>
      </c>
      <c r="D86" s="148" t="s">
        <v>28</v>
      </c>
      <c r="E86" s="149">
        <v>0.004</v>
      </c>
      <c r="F86" s="152">
        <f>TRUNC(2.53,2)</f>
        <v>2.53</v>
      </c>
      <c r="G86" s="39">
        <f t="shared" si="4"/>
        <v>0.01</v>
      </c>
      <c r="H86" s="150"/>
    </row>
    <row r="87" spans="1:8" s="151" customFormat="1" ht="30">
      <c r="A87" s="146"/>
      <c r="B87" s="147" t="s">
        <v>201</v>
      </c>
      <c r="C87" s="147" t="s">
        <v>202</v>
      </c>
      <c r="D87" s="148" t="s">
        <v>29</v>
      </c>
      <c r="E87" s="149">
        <v>0.002</v>
      </c>
      <c r="F87" s="152">
        <f>TRUNC(5.32,2)</f>
        <v>5.32</v>
      </c>
      <c r="G87" s="39">
        <f t="shared" si="4"/>
        <v>0.01</v>
      </c>
      <c r="H87" s="150"/>
    </row>
    <row r="88" spans="1:8" s="151" customFormat="1" ht="21">
      <c r="A88" s="146"/>
      <c r="B88" s="147"/>
      <c r="C88" s="147"/>
      <c r="D88" s="148"/>
      <c r="E88" s="149" t="s">
        <v>2</v>
      </c>
      <c r="F88" s="152"/>
      <c r="G88" s="39">
        <f>TRUNC(SUM(G80:G87),2)</f>
        <v>1.74</v>
      </c>
      <c r="H88" s="150"/>
    </row>
    <row r="89" spans="1:7" s="179" customFormat="1" ht="75">
      <c r="A89" s="16" t="s">
        <v>176</v>
      </c>
      <c r="B89" s="13" t="s">
        <v>95</v>
      </c>
      <c r="C89" s="13" t="s">
        <v>63</v>
      </c>
      <c r="D89" s="24" t="s">
        <v>1</v>
      </c>
      <c r="E89" s="49">
        <f>TRUNC((E78*0.06),2)</f>
        <v>610.08</v>
      </c>
      <c r="F89" s="48">
        <f>TRUNC(F90,2)</f>
        <v>176.38</v>
      </c>
      <c r="G89" s="41">
        <f aca="true" t="shared" si="5" ref="G89:G98">TRUNC(E89*F89,2)</f>
        <v>107605.91</v>
      </c>
    </row>
    <row r="90" spans="1:7" ht="75">
      <c r="A90" s="36"/>
      <c r="B90" s="38" t="s">
        <v>95</v>
      </c>
      <c r="C90" s="38" t="s">
        <v>63</v>
      </c>
      <c r="D90" s="37" t="s">
        <v>1</v>
      </c>
      <c r="E90" s="153">
        <v>1</v>
      </c>
      <c r="F90" s="145">
        <f>G99</f>
        <v>176.38</v>
      </c>
      <c r="G90" s="39">
        <f t="shared" si="5"/>
        <v>176.38</v>
      </c>
    </row>
    <row r="91" spans="1:7" ht="15.75">
      <c r="A91" s="36"/>
      <c r="B91" s="38" t="s">
        <v>33</v>
      </c>
      <c r="C91" s="38" t="s">
        <v>34</v>
      </c>
      <c r="D91" s="37" t="s">
        <v>27</v>
      </c>
      <c r="E91" s="153">
        <v>0.36523800000000006</v>
      </c>
      <c r="F91" s="37">
        <f>TRUNC(15.09,2)</f>
        <v>15.09</v>
      </c>
      <c r="G91" s="39">
        <f t="shared" si="5"/>
        <v>5.51</v>
      </c>
    </row>
    <row r="92" spans="1:7" ht="15.75">
      <c r="A92" s="36"/>
      <c r="B92" s="38" t="s">
        <v>96</v>
      </c>
      <c r="C92" s="38" t="s">
        <v>97</v>
      </c>
      <c r="D92" s="37" t="s">
        <v>27</v>
      </c>
      <c r="E92" s="153">
        <v>0.04964</v>
      </c>
      <c r="F92" s="37">
        <f>TRUNC(53.1417,2)</f>
        <v>53.14</v>
      </c>
      <c r="G92" s="39">
        <f t="shared" si="5"/>
        <v>2.63</v>
      </c>
    </row>
    <row r="93" spans="1:7" ht="15.75">
      <c r="A93" s="36"/>
      <c r="B93" s="38" t="s">
        <v>98</v>
      </c>
      <c r="C93" s="38" t="s">
        <v>99</v>
      </c>
      <c r="D93" s="37" t="s">
        <v>27</v>
      </c>
      <c r="E93" s="153">
        <v>0.02128</v>
      </c>
      <c r="F93" s="37">
        <f>TRUNC(113.063,2)</f>
        <v>113.06</v>
      </c>
      <c r="G93" s="39">
        <f t="shared" si="5"/>
        <v>2.4</v>
      </c>
    </row>
    <row r="94" spans="1:7" ht="15.75">
      <c r="A94" s="36"/>
      <c r="B94" s="38" t="s">
        <v>100</v>
      </c>
      <c r="C94" s="38" t="s">
        <v>101</v>
      </c>
      <c r="D94" s="37" t="s">
        <v>27</v>
      </c>
      <c r="E94" s="153">
        <v>0.03546</v>
      </c>
      <c r="F94" s="37">
        <f>TRUNC(89.5,2)</f>
        <v>89.5</v>
      </c>
      <c r="G94" s="39">
        <f t="shared" si="5"/>
        <v>3.17</v>
      </c>
    </row>
    <row r="95" spans="1:7" ht="15.75">
      <c r="A95" s="36"/>
      <c r="B95" s="38" t="s">
        <v>102</v>
      </c>
      <c r="C95" s="38" t="s">
        <v>103</v>
      </c>
      <c r="D95" s="37" t="s">
        <v>27</v>
      </c>
      <c r="E95" s="153">
        <v>0.03546</v>
      </c>
      <c r="F95" s="37">
        <f>TRUNC(168.927,2)</f>
        <v>168.92</v>
      </c>
      <c r="G95" s="39">
        <f t="shared" si="5"/>
        <v>5.98</v>
      </c>
    </row>
    <row r="96" spans="1:7" ht="15.75">
      <c r="A96" s="36"/>
      <c r="B96" s="38" t="s">
        <v>104</v>
      </c>
      <c r="C96" s="38" t="s">
        <v>105</v>
      </c>
      <c r="D96" s="37" t="s">
        <v>27</v>
      </c>
      <c r="E96" s="153">
        <v>0.07092</v>
      </c>
      <c r="F96" s="37">
        <f>TRUNC(2134.2192,2)</f>
        <v>2134.21</v>
      </c>
      <c r="G96" s="39">
        <f t="shared" si="5"/>
        <v>151.35</v>
      </c>
    </row>
    <row r="97" spans="1:7" ht="15.75">
      <c r="A97" s="36"/>
      <c r="B97" s="38" t="s">
        <v>106</v>
      </c>
      <c r="C97" s="38" t="s">
        <v>107</v>
      </c>
      <c r="D97" s="37" t="s">
        <v>27</v>
      </c>
      <c r="E97" s="153">
        <v>0.02128</v>
      </c>
      <c r="F97" s="37">
        <f>TRUNC(42.26,2)</f>
        <v>42.26</v>
      </c>
      <c r="G97" s="39">
        <f t="shared" si="5"/>
        <v>0.89</v>
      </c>
    </row>
    <row r="98" spans="1:7" ht="15.75">
      <c r="A98" s="36"/>
      <c r="B98" s="38" t="s">
        <v>108</v>
      </c>
      <c r="C98" s="38" t="s">
        <v>109</v>
      </c>
      <c r="D98" s="37" t="s">
        <v>27</v>
      </c>
      <c r="E98" s="153">
        <v>0.04964</v>
      </c>
      <c r="F98" s="37">
        <f>TRUNC(89.6857,2)</f>
        <v>89.68</v>
      </c>
      <c r="G98" s="39">
        <f t="shared" si="5"/>
        <v>4.45</v>
      </c>
    </row>
    <row r="99" spans="1:7" ht="15.75">
      <c r="A99" s="36"/>
      <c r="B99" s="38"/>
      <c r="C99" s="38"/>
      <c r="D99" s="37"/>
      <c r="E99" s="153" t="s">
        <v>2</v>
      </c>
      <c r="F99" s="37"/>
      <c r="G99" s="39">
        <f>TRUNC(SUM(G91:G98),2)</f>
        <v>176.38</v>
      </c>
    </row>
    <row r="100" spans="1:8" s="177" customFormat="1" ht="30">
      <c r="A100" s="17" t="s">
        <v>177</v>
      </c>
      <c r="B100" s="42" t="s">
        <v>110</v>
      </c>
      <c r="C100" s="43" t="s">
        <v>64</v>
      </c>
      <c r="D100" s="42" t="s">
        <v>1</v>
      </c>
      <c r="E100" s="49">
        <f>E89</f>
        <v>610.08</v>
      </c>
      <c r="F100" s="48">
        <f>TRUNC(F101,2)</f>
        <v>731.2</v>
      </c>
      <c r="G100" s="41">
        <f aca="true" t="shared" si="6" ref="G100:G110">TRUNC(E100*F100,2)</f>
        <v>446090.49</v>
      </c>
      <c r="H100" s="182" t="s">
        <v>59</v>
      </c>
    </row>
    <row r="101" spans="1:8" s="156" customFormat="1" ht="30">
      <c r="A101" s="146"/>
      <c r="B101" s="148" t="s">
        <v>110</v>
      </c>
      <c r="C101" s="147" t="s">
        <v>64</v>
      </c>
      <c r="D101" s="148" t="s">
        <v>1</v>
      </c>
      <c r="E101" s="154">
        <v>1</v>
      </c>
      <c r="F101" s="152">
        <f>G111</f>
        <v>731.2</v>
      </c>
      <c r="G101" s="39">
        <f t="shared" si="6"/>
        <v>731.2</v>
      </c>
      <c r="H101" s="155"/>
    </row>
    <row r="102" spans="1:8" s="156" customFormat="1" ht="21">
      <c r="A102" s="146"/>
      <c r="B102" s="148" t="s">
        <v>84</v>
      </c>
      <c r="C102" s="147" t="s">
        <v>85</v>
      </c>
      <c r="D102" s="148" t="s">
        <v>19</v>
      </c>
      <c r="E102" s="154">
        <v>1.55532</v>
      </c>
      <c r="F102" s="148">
        <f>TRUNC(25,2)</f>
        <v>25</v>
      </c>
      <c r="G102" s="39">
        <f t="shared" si="6"/>
        <v>38.88</v>
      </c>
      <c r="H102" s="155"/>
    </row>
    <row r="103" spans="1:8" s="156" customFormat="1" ht="21">
      <c r="A103" s="146"/>
      <c r="B103" s="148" t="s">
        <v>86</v>
      </c>
      <c r="C103" s="147" t="s">
        <v>87</v>
      </c>
      <c r="D103" s="148" t="s">
        <v>19</v>
      </c>
      <c r="E103" s="154">
        <v>0.54386</v>
      </c>
      <c r="F103" s="148">
        <f>TRUNC(50,2)</f>
        <v>50</v>
      </c>
      <c r="G103" s="39">
        <f t="shared" si="6"/>
        <v>27.19</v>
      </c>
      <c r="H103" s="155"/>
    </row>
    <row r="104" spans="1:8" s="156" customFormat="1" ht="21">
      <c r="A104" s="146"/>
      <c r="B104" s="148" t="s">
        <v>30</v>
      </c>
      <c r="C104" s="147" t="s">
        <v>61</v>
      </c>
      <c r="D104" s="148" t="s">
        <v>26</v>
      </c>
      <c r="E104" s="154">
        <v>91</v>
      </c>
      <c r="F104" s="148">
        <f>TRUNC(0.336,2)</f>
        <v>0.33</v>
      </c>
      <c r="G104" s="39">
        <f t="shared" si="6"/>
        <v>30.03</v>
      </c>
      <c r="H104" s="155"/>
    </row>
    <row r="105" spans="1:8" s="156" customFormat="1" ht="21">
      <c r="A105" s="146"/>
      <c r="B105" s="148" t="s">
        <v>88</v>
      </c>
      <c r="C105" s="147" t="s">
        <v>89</v>
      </c>
      <c r="D105" s="148" t="s">
        <v>26</v>
      </c>
      <c r="E105" s="154">
        <v>126</v>
      </c>
      <c r="F105" s="148">
        <f>TRUNC(3.7096,2)</f>
        <v>3.7</v>
      </c>
      <c r="G105" s="39">
        <f t="shared" si="6"/>
        <v>466.2</v>
      </c>
      <c r="H105" s="155"/>
    </row>
    <row r="106" spans="1:8" s="156" customFormat="1" ht="21">
      <c r="A106" s="146"/>
      <c r="B106" s="148" t="s">
        <v>33</v>
      </c>
      <c r="C106" s="147" t="s">
        <v>34</v>
      </c>
      <c r="D106" s="148" t="s">
        <v>27</v>
      </c>
      <c r="E106" s="154">
        <v>0.5840099999999999</v>
      </c>
      <c r="F106" s="148">
        <f>TRUNC(15.09,2)</f>
        <v>15.09</v>
      </c>
      <c r="G106" s="39">
        <f t="shared" si="6"/>
        <v>8.81</v>
      </c>
      <c r="H106" s="155"/>
    </row>
    <row r="107" spans="1:8" s="156" customFormat="1" ht="21">
      <c r="A107" s="146"/>
      <c r="B107" s="148" t="s">
        <v>111</v>
      </c>
      <c r="C107" s="147" t="s">
        <v>112</v>
      </c>
      <c r="D107" s="148" t="s">
        <v>27</v>
      </c>
      <c r="E107" s="154">
        <v>0.07313</v>
      </c>
      <c r="F107" s="148">
        <f>TRUNC(28.83,2)</f>
        <v>28.83</v>
      </c>
      <c r="G107" s="39">
        <f t="shared" si="6"/>
        <v>2.1</v>
      </c>
      <c r="H107" s="155"/>
    </row>
    <row r="108" spans="1:8" s="156" customFormat="1" ht="21">
      <c r="A108" s="146"/>
      <c r="B108" s="148" t="s">
        <v>113</v>
      </c>
      <c r="C108" s="147" t="s">
        <v>114</v>
      </c>
      <c r="D108" s="148" t="s">
        <v>27</v>
      </c>
      <c r="E108" s="154">
        <v>0.03901</v>
      </c>
      <c r="F108" s="148">
        <f>TRUNC(52.1599,2)</f>
        <v>52.15</v>
      </c>
      <c r="G108" s="39">
        <f t="shared" si="6"/>
        <v>2.03</v>
      </c>
      <c r="H108" s="155"/>
    </row>
    <row r="109" spans="1:8" s="156" customFormat="1" ht="21">
      <c r="A109" s="146"/>
      <c r="B109" s="148" t="s">
        <v>115</v>
      </c>
      <c r="C109" s="147" t="s">
        <v>116</v>
      </c>
      <c r="D109" s="148" t="s">
        <v>27</v>
      </c>
      <c r="E109" s="154">
        <v>0.03191</v>
      </c>
      <c r="F109" s="148">
        <f>TRUNC(144.7552,2)</f>
        <v>144.75</v>
      </c>
      <c r="G109" s="39">
        <f t="shared" si="6"/>
        <v>4.61</v>
      </c>
      <c r="H109" s="155"/>
    </row>
    <row r="110" spans="1:8" s="156" customFormat="1" ht="21">
      <c r="A110" s="146"/>
      <c r="B110" s="148" t="s">
        <v>104</v>
      </c>
      <c r="C110" s="147" t="s">
        <v>105</v>
      </c>
      <c r="D110" s="148" t="s">
        <v>27</v>
      </c>
      <c r="E110" s="154">
        <v>0.07092</v>
      </c>
      <c r="F110" s="148">
        <f>TRUNC(2134.2192,2)</f>
        <v>2134.21</v>
      </c>
      <c r="G110" s="39">
        <f t="shared" si="6"/>
        <v>151.35</v>
      </c>
      <c r="H110" s="155"/>
    </row>
    <row r="111" spans="1:8" s="156" customFormat="1" ht="21">
      <c r="A111" s="146"/>
      <c r="B111" s="148"/>
      <c r="C111" s="147"/>
      <c r="D111" s="148"/>
      <c r="E111" s="154" t="s">
        <v>2</v>
      </c>
      <c r="F111" s="148"/>
      <c r="G111" s="39">
        <f>TRUNC(SUM(G102:G110),2)</f>
        <v>731.2</v>
      </c>
      <c r="H111" s="155"/>
    </row>
    <row r="112" spans="1:7" s="177" customFormat="1" ht="75">
      <c r="A112" s="17" t="s">
        <v>182</v>
      </c>
      <c r="B112" s="42" t="s">
        <v>117</v>
      </c>
      <c r="C112" s="43" t="s">
        <v>65</v>
      </c>
      <c r="D112" s="42" t="s">
        <v>19</v>
      </c>
      <c r="E112" s="44">
        <f>TRUNC((E100*2.45),2)</f>
        <v>1494.69</v>
      </c>
      <c r="F112" s="42">
        <f>TRUNC(F113,2)</f>
        <v>8.39</v>
      </c>
      <c r="G112" s="41">
        <f aca="true" t="shared" si="7" ref="G112:G117">TRUNC(E112*F112,2)</f>
        <v>12540.44</v>
      </c>
    </row>
    <row r="113" spans="1:7" s="156" customFormat="1" ht="75">
      <c r="A113" s="146"/>
      <c r="B113" s="148" t="s">
        <v>117</v>
      </c>
      <c r="C113" s="147" t="s">
        <v>65</v>
      </c>
      <c r="D113" s="148" t="s">
        <v>19</v>
      </c>
      <c r="E113" s="154">
        <v>1</v>
      </c>
      <c r="F113" s="152">
        <f>G118</f>
        <v>8.39</v>
      </c>
      <c r="G113" s="39">
        <f t="shared" si="7"/>
        <v>8.39</v>
      </c>
    </row>
    <row r="114" spans="1:7" s="156" customFormat="1" ht="15.75">
      <c r="A114" s="146"/>
      <c r="B114" s="148" t="s">
        <v>118</v>
      </c>
      <c r="C114" s="147" t="s">
        <v>119</v>
      </c>
      <c r="D114" s="148" t="s">
        <v>27</v>
      </c>
      <c r="E114" s="154">
        <v>0.02</v>
      </c>
      <c r="F114" s="148">
        <f>TRUNC(46.5327,2)</f>
        <v>46.53</v>
      </c>
      <c r="G114" s="39">
        <f t="shared" si="7"/>
        <v>0.93</v>
      </c>
    </row>
    <row r="115" spans="1:7" s="156" customFormat="1" ht="15.75">
      <c r="A115" s="146"/>
      <c r="B115" s="148" t="s">
        <v>120</v>
      </c>
      <c r="C115" s="147" t="s">
        <v>121</v>
      </c>
      <c r="D115" s="148" t="s">
        <v>27</v>
      </c>
      <c r="E115" s="154">
        <v>0.007</v>
      </c>
      <c r="F115" s="148">
        <f>TRUNC(132.4155,2)</f>
        <v>132.41</v>
      </c>
      <c r="G115" s="39">
        <f t="shared" si="7"/>
        <v>0.92</v>
      </c>
    </row>
    <row r="116" spans="1:7" s="156" customFormat="1" ht="15.75">
      <c r="A116" s="146"/>
      <c r="B116" s="148" t="s">
        <v>113</v>
      </c>
      <c r="C116" s="147" t="s">
        <v>114</v>
      </c>
      <c r="D116" s="148" t="s">
        <v>27</v>
      </c>
      <c r="E116" s="154">
        <v>0.07</v>
      </c>
      <c r="F116" s="148">
        <f>TRUNC(52.1599,2)</f>
        <v>52.15</v>
      </c>
      <c r="G116" s="39">
        <f t="shared" si="7"/>
        <v>3.65</v>
      </c>
    </row>
    <row r="117" spans="1:7" s="156" customFormat="1" ht="15.75">
      <c r="A117" s="146"/>
      <c r="B117" s="148" t="s">
        <v>115</v>
      </c>
      <c r="C117" s="147" t="s">
        <v>116</v>
      </c>
      <c r="D117" s="148" t="s">
        <v>27</v>
      </c>
      <c r="E117" s="154">
        <v>0.02</v>
      </c>
      <c r="F117" s="148">
        <f>TRUNC(144.7552,2)</f>
        <v>144.75</v>
      </c>
      <c r="G117" s="39">
        <f t="shared" si="7"/>
        <v>2.89</v>
      </c>
    </row>
    <row r="118" spans="1:7" s="156" customFormat="1" ht="15.75">
      <c r="A118" s="146"/>
      <c r="B118" s="148"/>
      <c r="C118" s="147"/>
      <c r="D118" s="148"/>
      <c r="E118" s="154" t="s">
        <v>2</v>
      </c>
      <c r="F118" s="148"/>
      <c r="G118" s="39">
        <f>TRUNC(SUM(G114:G117),2)</f>
        <v>8.39</v>
      </c>
    </row>
    <row r="119" spans="1:7" s="177" customFormat="1" ht="30">
      <c r="A119" s="17" t="s">
        <v>183</v>
      </c>
      <c r="B119" s="42" t="s">
        <v>128</v>
      </c>
      <c r="C119" s="43" t="s">
        <v>129</v>
      </c>
      <c r="D119" s="42" t="s">
        <v>20</v>
      </c>
      <c r="E119" s="44">
        <f>E112*50</f>
        <v>74734.5</v>
      </c>
      <c r="F119" s="48">
        <f>TRUNC(F120,2)</f>
        <v>0.41</v>
      </c>
      <c r="G119" s="41">
        <f>TRUNC(E119*F119,2)</f>
        <v>30641.14</v>
      </c>
    </row>
    <row r="120" spans="1:7" ht="30">
      <c r="A120" s="36"/>
      <c r="B120" s="37" t="s">
        <v>128</v>
      </c>
      <c r="C120" s="38" t="s">
        <v>129</v>
      </c>
      <c r="D120" s="37" t="s">
        <v>130</v>
      </c>
      <c r="E120" s="37">
        <v>1</v>
      </c>
      <c r="F120" s="145">
        <f>G123</f>
        <v>0.41</v>
      </c>
      <c r="G120" s="39">
        <f>TRUNC(E120*F120,2)</f>
        <v>0.41</v>
      </c>
    </row>
    <row r="121" spans="1:7" ht="45">
      <c r="A121" s="36"/>
      <c r="B121" s="37" t="s">
        <v>124</v>
      </c>
      <c r="C121" s="38" t="s">
        <v>125</v>
      </c>
      <c r="D121" s="37" t="s">
        <v>28</v>
      </c>
      <c r="E121" s="37">
        <v>0.00053</v>
      </c>
      <c r="F121" s="145">
        <f>TRUNC(45.46,2)</f>
        <v>45.46</v>
      </c>
      <c r="G121" s="39">
        <f>TRUNC(E121*F121,2)</f>
        <v>0.02</v>
      </c>
    </row>
    <row r="122" spans="1:7" ht="45">
      <c r="A122" s="36"/>
      <c r="B122" s="37" t="s">
        <v>126</v>
      </c>
      <c r="C122" s="38" t="s">
        <v>127</v>
      </c>
      <c r="D122" s="37" t="s">
        <v>29</v>
      </c>
      <c r="E122" s="37">
        <v>0.00212</v>
      </c>
      <c r="F122" s="145">
        <f>TRUNC(187.75,2)</f>
        <v>187.75</v>
      </c>
      <c r="G122" s="39">
        <f>TRUNC(E122*F122,2)</f>
        <v>0.39</v>
      </c>
    </row>
    <row r="123" spans="1:7" ht="15.75">
      <c r="A123" s="36"/>
      <c r="B123" s="37"/>
      <c r="C123" s="38"/>
      <c r="D123" s="37"/>
      <c r="E123" s="37" t="s">
        <v>2</v>
      </c>
      <c r="F123" s="145"/>
      <c r="G123" s="39">
        <f>TRUNC(SUM(G121:G122),2)</f>
        <v>0.41</v>
      </c>
    </row>
    <row r="124" spans="1:8" s="14" customFormat="1" ht="15.75">
      <c r="A124" s="45"/>
      <c r="B124" s="46"/>
      <c r="C124" s="47"/>
      <c r="D124" s="46"/>
      <c r="E124" s="46"/>
      <c r="F124" s="46" t="s">
        <v>24</v>
      </c>
      <c r="G124" s="141">
        <f>G13+G27+G31+G38+G42+G48+G52+G68+G78+G89+G100+G112+G119</f>
        <v>867728.58</v>
      </c>
      <c r="H124" s="18"/>
    </row>
    <row r="125" spans="1:7" s="14" customFormat="1" ht="15.75">
      <c r="A125" s="45"/>
      <c r="B125" s="46"/>
      <c r="C125" s="47"/>
      <c r="D125" s="46"/>
      <c r="E125" s="46"/>
      <c r="F125" s="46" t="s">
        <v>25</v>
      </c>
      <c r="G125" s="141">
        <f>G124</f>
        <v>867728.58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G10"/>
    <mergeCell ref="D6:G6"/>
    <mergeCell ref="D7:G7"/>
    <mergeCell ref="D8:G8"/>
    <mergeCell ref="D3:G3"/>
    <mergeCell ref="D4:G4"/>
    <mergeCell ref="D5:G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0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40" zoomScaleSheetLayoutView="40" zoomScalePageLayoutView="0" workbookViewId="0" topLeftCell="A1">
      <selection activeCell="J14" sqref="J14"/>
    </sheetView>
  </sheetViews>
  <sheetFormatPr defaultColWidth="9.140625" defaultRowHeight="15"/>
  <cols>
    <col min="1" max="1" width="30.8515625" style="2" bestFit="1" customWidth="1"/>
    <col min="2" max="2" width="46.421875" style="2" customWidth="1"/>
    <col min="3" max="3" width="142.7109375" style="1" customWidth="1"/>
    <col min="4" max="4" width="22.421875" style="52" bestFit="1" customWidth="1"/>
    <col min="5" max="5" width="33.8515625" style="51" bestFit="1" customWidth="1"/>
    <col min="6" max="7" width="37.57421875" style="51" customWidth="1"/>
    <col min="8" max="8" width="43.421875" style="51" bestFit="1" customWidth="1"/>
    <col min="9" max="9" width="41.7109375" style="52" bestFit="1" customWidth="1"/>
    <col min="10" max="12" width="13.8515625" style="0" bestFit="1" customWidth="1"/>
  </cols>
  <sheetData>
    <row r="1" spans="1:9" s="87" customFormat="1" ht="30">
      <c r="A1" s="81"/>
      <c r="B1" s="82"/>
      <c r="C1" s="83" t="s">
        <v>12</v>
      </c>
      <c r="D1" s="129"/>
      <c r="E1" s="84"/>
      <c r="F1" s="130"/>
      <c r="G1" s="85"/>
      <c r="H1" s="85"/>
      <c r="I1" s="86"/>
    </row>
    <row r="2" spans="1:9" s="87" customFormat="1" ht="30">
      <c r="A2" s="88"/>
      <c r="B2" s="89"/>
      <c r="C2" s="90" t="s">
        <v>13</v>
      </c>
      <c r="D2" s="123"/>
      <c r="E2" s="91"/>
      <c r="F2" s="131"/>
      <c r="G2" s="92"/>
      <c r="H2" s="92"/>
      <c r="I2" s="93"/>
    </row>
    <row r="3" spans="1:9" s="87" customFormat="1" ht="30">
      <c r="A3" s="88"/>
      <c r="B3" s="89"/>
      <c r="C3" s="90" t="s">
        <v>14</v>
      </c>
      <c r="D3" s="123"/>
      <c r="E3" s="123"/>
      <c r="F3" s="216" t="s">
        <v>213</v>
      </c>
      <c r="G3" s="217"/>
      <c r="H3" s="217"/>
      <c r="I3" s="218"/>
    </row>
    <row r="4" spans="1:9" s="87" customFormat="1" ht="60" customHeight="1">
      <c r="A4" s="88"/>
      <c r="B4" s="89"/>
      <c r="C4" s="94" t="s">
        <v>214</v>
      </c>
      <c r="D4" s="123"/>
      <c r="E4" s="123"/>
      <c r="F4" s="219" t="s">
        <v>216</v>
      </c>
      <c r="G4" s="220"/>
      <c r="H4" s="220"/>
      <c r="I4" s="221"/>
    </row>
    <row r="5" spans="1:9" s="87" customFormat="1" ht="57" customHeight="1">
      <c r="A5" s="88"/>
      <c r="B5" s="89"/>
      <c r="C5" s="95" t="s">
        <v>179</v>
      </c>
      <c r="D5" s="123"/>
      <c r="E5" s="123"/>
      <c r="F5" s="222" t="s">
        <v>215</v>
      </c>
      <c r="G5" s="223"/>
      <c r="H5" s="223"/>
      <c r="I5" s="224"/>
    </row>
    <row r="6" spans="1:9" s="87" customFormat="1" ht="30">
      <c r="A6" s="88"/>
      <c r="B6" s="89"/>
      <c r="C6" s="96" t="s">
        <v>92</v>
      </c>
      <c r="D6" s="123"/>
      <c r="E6" s="123"/>
      <c r="F6" s="225" t="s">
        <v>62</v>
      </c>
      <c r="G6" s="226"/>
      <c r="H6" s="226"/>
      <c r="I6" s="227"/>
    </row>
    <row r="7" spans="1:9" s="87" customFormat="1" ht="30">
      <c r="A7" s="88"/>
      <c r="B7" s="89"/>
      <c r="C7" s="97" t="s">
        <v>32</v>
      </c>
      <c r="D7" s="123"/>
      <c r="E7" s="123"/>
      <c r="F7" s="225" t="s">
        <v>217</v>
      </c>
      <c r="G7" s="226"/>
      <c r="H7" s="226"/>
      <c r="I7" s="227"/>
    </row>
    <row r="8" spans="1:9" s="87" customFormat="1" ht="30">
      <c r="A8" s="98"/>
      <c r="B8" s="99"/>
      <c r="C8" s="100"/>
      <c r="D8" s="128"/>
      <c r="E8" s="128"/>
      <c r="F8" s="228" t="s">
        <v>38</v>
      </c>
      <c r="G8" s="229"/>
      <c r="H8" s="229"/>
      <c r="I8" s="230"/>
    </row>
    <row r="9" spans="1:9" s="101" customFormat="1" ht="47.25" customHeight="1">
      <c r="A9" s="211" t="s">
        <v>66</v>
      </c>
      <c r="B9" s="212"/>
      <c r="C9" s="212"/>
      <c r="D9" s="212"/>
      <c r="E9" s="212"/>
      <c r="F9" s="212"/>
      <c r="G9" s="212"/>
      <c r="H9" s="212"/>
      <c r="I9" s="213"/>
    </row>
    <row r="10" spans="1:9" s="103" customFormat="1" ht="30">
      <c r="A10" s="214" t="s">
        <v>15</v>
      </c>
      <c r="B10" s="215" t="s">
        <v>16</v>
      </c>
      <c r="C10" s="215" t="s">
        <v>17</v>
      </c>
      <c r="D10" s="214" t="s">
        <v>37</v>
      </c>
      <c r="E10" s="207" t="s">
        <v>21</v>
      </c>
      <c r="F10" s="209" t="s">
        <v>22</v>
      </c>
      <c r="G10" s="210"/>
      <c r="H10" s="210"/>
      <c r="I10" s="210"/>
    </row>
    <row r="11" spans="1:9" s="103" customFormat="1" ht="30">
      <c r="A11" s="214"/>
      <c r="B11" s="215"/>
      <c r="C11" s="215"/>
      <c r="D11" s="214"/>
      <c r="E11" s="208"/>
      <c r="F11" s="102" t="s">
        <v>35</v>
      </c>
      <c r="G11" s="102" t="s">
        <v>52</v>
      </c>
      <c r="H11" s="138" t="s">
        <v>60</v>
      </c>
      <c r="I11" s="139" t="s">
        <v>53</v>
      </c>
    </row>
    <row r="12" spans="1:9" s="115" customFormat="1" ht="30">
      <c r="A12" s="104" t="s">
        <v>9</v>
      </c>
      <c r="B12" s="104"/>
      <c r="C12" s="105" t="s">
        <v>91</v>
      </c>
      <c r="D12" s="104"/>
      <c r="E12" s="116"/>
      <c r="F12" s="106"/>
      <c r="G12" s="106"/>
      <c r="H12" s="106"/>
      <c r="I12" s="106"/>
    </row>
    <row r="13" spans="1:9" s="121" customFormat="1" ht="60">
      <c r="A13" s="113" t="s">
        <v>3</v>
      </c>
      <c r="B13" s="119" t="s">
        <v>93</v>
      </c>
      <c r="C13" s="114" t="s">
        <v>94</v>
      </c>
      <c r="D13" s="120" t="s">
        <v>0</v>
      </c>
      <c r="E13" s="112">
        <f>'MEMÓRIA '!E13</f>
        <v>10168</v>
      </c>
      <c r="F13" s="112">
        <f>'MEMÓRIA '!F13</f>
        <v>4.89</v>
      </c>
      <c r="G13" s="109">
        <f aca="true" t="shared" si="0" ref="G13:G18">ROUND((F13*1.2032),2)</f>
        <v>5.88</v>
      </c>
      <c r="H13" s="109">
        <f aca="true" t="shared" si="1" ref="H13:H18">TRUNC((E13*F13),2)</f>
        <v>49721.52</v>
      </c>
      <c r="I13" s="110">
        <f aca="true" t="shared" si="2" ref="I13:I18">TRUNC((E13*G13),2)</f>
        <v>59787.84</v>
      </c>
    </row>
    <row r="14" spans="1:9" s="121" customFormat="1" ht="210">
      <c r="A14" s="113" t="s">
        <v>4</v>
      </c>
      <c r="B14" s="119" t="s">
        <v>209</v>
      </c>
      <c r="C14" s="114" t="s">
        <v>212</v>
      </c>
      <c r="D14" s="120" t="s">
        <v>20</v>
      </c>
      <c r="E14" s="112">
        <f>'MEMÓRIA '!E27</f>
        <v>9993.11</v>
      </c>
      <c r="F14" s="112">
        <f>'MEMÓRIA '!F27</f>
        <v>0.83</v>
      </c>
      <c r="G14" s="109">
        <f t="shared" si="0"/>
        <v>1</v>
      </c>
      <c r="H14" s="109">
        <f t="shared" si="1"/>
        <v>8294.28</v>
      </c>
      <c r="I14" s="110">
        <f t="shared" si="2"/>
        <v>9993.11</v>
      </c>
    </row>
    <row r="15" spans="1:9" s="121" customFormat="1" ht="240">
      <c r="A15" s="113" t="s">
        <v>5</v>
      </c>
      <c r="B15" s="119" t="s">
        <v>117</v>
      </c>
      <c r="C15" s="114" t="s">
        <v>181</v>
      </c>
      <c r="D15" s="120" t="s">
        <v>19</v>
      </c>
      <c r="E15" s="112">
        <f>'MEMÓRIA '!E31</f>
        <v>2684.35</v>
      </c>
      <c r="F15" s="112">
        <f>'MEMÓRIA '!F31</f>
        <v>8.39</v>
      </c>
      <c r="G15" s="109">
        <f t="shared" si="0"/>
        <v>10.09</v>
      </c>
      <c r="H15" s="109">
        <f t="shared" si="1"/>
        <v>22521.69</v>
      </c>
      <c r="I15" s="110">
        <f t="shared" si="2"/>
        <v>27085.09</v>
      </c>
    </row>
    <row r="16" spans="1:9" s="121" customFormat="1" ht="210">
      <c r="A16" s="113" t="s">
        <v>6</v>
      </c>
      <c r="B16" s="119" t="s">
        <v>184</v>
      </c>
      <c r="C16" s="114" t="s">
        <v>207</v>
      </c>
      <c r="D16" s="120" t="s">
        <v>130</v>
      </c>
      <c r="E16" s="112">
        <f>'MEMÓRIA '!E38</f>
        <v>16911.4</v>
      </c>
      <c r="F16" s="112">
        <f>'MEMÓRIA '!F38</f>
        <v>0.66</v>
      </c>
      <c r="G16" s="109">
        <f t="shared" si="0"/>
        <v>0.79</v>
      </c>
      <c r="H16" s="109">
        <f t="shared" si="1"/>
        <v>11161.52</v>
      </c>
      <c r="I16" s="110">
        <f t="shared" si="2"/>
        <v>13360</v>
      </c>
    </row>
    <row r="17" spans="1:9" s="111" customFormat="1" ht="180">
      <c r="A17" s="113" t="s">
        <v>7</v>
      </c>
      <c r="B17" s="107" t="s">
        <v>149</v>
      </c>
      <c r="C17" s="108" t="s">
        <v>150</v>
      </c>
      <c r="D17" s="107" t="s">
        <v>1</v>
      </c>
      <c r="E17" s="112">
        <f>'MEMÓRIA '!E42</f>
        <v>1525.2</v>
      </c>
      <c r="F17" s="112">
        <f>'MEMÓRIA '!F42</f>
        <v>17.1</v>
      </c>
      <c r="G17" s="109">
        <f t="shared" si="0"/>
        <v>20.57</v>
      </c>
      <c r="H17" s="109">
        <f t="shared" si="1"/>
        <v>26080.92</v>
      </c>
      <c r="I17" s="110">
        <f t="shared" si="2"/>
        <v>31373.36</v>
      </c>
    </row>
    <row r="18" spans="1:9" s="111" customFormat="1" ht="210">
      <c r="A18" s="113" t="s">
        <v>18</v>
      </c>
      <c r="B18" s="107" t="s">
        <v>155</v>
      </c>
      <c r="C18" s="108" t="s">
        <v>208</v>
      </c>
      <c r="D18" s="107" t="s">
        <v>20</v>
      </c>
      <c r="E18" s="112">
        <f>'MEMÓRIA '!E48</f>
        <v>26053.46</v>
      </c>
      <c r="F18" s="112">
        <f>'MEMÓRIA '!F48</f>
        <v>0.46</v>
      </c>
      <c r="G18" s="109">
        <f t="shared" si="0"/>
        <v>0.55</v>
      </c>
      <c r="H18" s="109">
        <f t="shared" si="1"/>
        <v>11984.59</v>
      </c>
      <c r="I18" s="110">
        <f t="shared" si="2"/>
        <v>14329.4</v>
      </c>
    </row>
    <row r="19" spans="1:9" s="121" customFormat="1" ht="120">
      <c r="A19" s="113" t="s">
        <v>173</v>
      </c>
      <c r="B19" s="165" t="s">
        <v>131</v>
      </c>
      <c r="C19" s="166" t="s">
        <v>132</v>
      </c>
      <c r="D19" s="107" t="s">
        <v>1</v>
      </c>
      <c r="E19" s="112">
        <f>'MEMÓRIA '!E52</f>
        <v>1525.2</v>
      </c>
      <c r="F19" s="112">
        <f>'MEMÓRIA '!F52</f>
        <v>75.97</v>
      </c>
      <c r="G19" s="109">
        <f aca="true" t="shared" si="3" ref="G19:G25">ROUND((F19*1.2032),2)</f>
        <v>91.41</v>
      </c>
      <c r="H19" s="109">
        <f aca="true" t="shared" si="4" ref="H19:H25">TRUNC((E19*F19),2)</f>
        <v>115869.44</v>
      </c>
      <c r="I19" s="110">
        <f aca="true" t="shared" si="5" ref="I19:I25">TRUNC((E19*G19),2)</f>
        <v>139418.53</v>
      </c>
    </row>
    <row r="20" spans="1:9" s="162" customFormat="1" ht="60">
      <c r="A20" s="113" t="s">
        <v>174</v>
      </c>
      <c r="B20" s="113" t="s">
        <v>159</v>
      </c>
      <c r="C20" s="163" t="s">
        <v>160</v>
      </c>
      <c r="D20" s="113" t="s">
        <v>0</v>
      </c>
      <c r="E20" s="160">
        <f>'MEMÓRIA '!E68</f>
        <v>10168</v>
      </c>
      <c r="F20" s="160">
        <f>'MEMÓRIA '!F68</f>
        <v>0.74</v>
      </c>
      <c r="G20" s="161">
        <f t="shared" si="3"/>
        <v>0.89</v>
      </c>
      <c r="H20" s="161">
        <f t="shared" si="4"/>
        <v>7524.32</v>
      </c>
      <c r="I20" s="110">
        <f t="shared" si="5"/>
        <v>9049.52</v>
      </c>
    </row>
    <row r="21" spans="1:9" s="162" customFormat="1" ht="60">
      <c r="A21" s="113" t="s">
        <v>175</v>
      </c>
      <c r="B21" s="176" t="s">
        <v>205</v>
      </c>
      <c r="C21" s="164" t="s">
        <v>206</v>
      </c>
      <c r="D21" s="113" t="s">
        <v>0</v>
      </c>
      <c r="E21" s="160">
        <f>'MEMÓRIA '!E78</f>
        <v>10168</v>
      </c>
      <c r="F21" s="160">
        <f>'MEMÓRIA '!F78</f>
        <v>1.74</v>
      </c>
      <c r="G21" s="161">
        <f t="shared" si="3"/>
        <v>2.09</v>
      </c>
      <c r="H21" s="161">
        <f t="shared" si="4"/>
        <v>17692.32</v>
      </c>
      <c r="I21" s="110">
        <f t="shared" si="5"/>
        <v>21251.12</v>
      </c>
    </row>
    <row r="22" spans="1:9" s="87" customFormat="1" ht="210">
      <c r="A22" s="113" t="s">
        <v>176</v>
      </c>
      <c r="B22" s="168" t="s">
        <v>95</v>
      </c>
      <c r="C22" s="167" t="s">
        <v>63</v>
      </c>
      <c r="D22" s="168" t="s">
        <v>1</v>
      </c>
      <c r="E22" s="112">
        <f>'MEMÓRIA '!E89</f>
        <v>610.08</v>
      </c>
      <c r="F22" s="112">
        <f>'MEMÓRIA '!F89</f>
        <v>176.38</v>
      </c>
      <c r="G22" s="109">
        <f t="shared" si="3"/>
        <v>212.22</v>
      </c>
      <c r="H22" s="109">
        <f t="shared" si="4"/>
        <v>107605.91</v>
      </c>
      <c r="I22" s="110">
        <f t="shared" si="5"/>
        <v>129471.17</v>
      </c>
    </row>
    <row r="23" spans="1:9" s="87" customFormat="1" ht="90">
      <c r="A23" s="113" t="s">
        <v>177</v>
      </c>
      <c r="B23" s="168" t="s">
        <v>110</v>
      </c>
      <c r="C23" s="167" t="s">
        <v>64</v>
      </c>
      <c r="D23" s="168" t="s">
        <v>1</v>
      </c>
      <c r="E23" s="112">
        <f>'MEMÓRIA '!E100</f>
        <v>610.08</v>
      </c>
      <c r="F23" s="112">
        <f>'MEMÓRIA '!F100</f>
        <v>731.2</v>
      </c>
      <c r="G23" s="109">
        <f t="shared" si="3"/>
        <v>879.78</v>
      </c>
      <c r="H23" s="109">
        <f t="shared" si="4"/>
        <v>446090.49</v>
      </c>
      <c r="I23" s="110">
        <f t="shared" si="5"/>
        <v>536736.18</v>
      </c>
    </row>
    <row r="24" spans="1:9" s="87" customFormat="1" ht="210">
      <c r="A24" s="113" t="s">
        <v>182</v>
      </c>
      <c r="B24" s="168" t="s">
        <v>117</v>
      </c>
      <c r="C24" s="167" t="s">
        <v>65</v>
      </c>
      <c r="D24" s="168" t="s">
        <v>19</v>
      </c>
      <c r="E24" s="112">
        <f>'MEMÓRIA '!E112</f>
        <v>1494.69</v>
      </c>
      <c r="F24" s="112">
        <f>'MEMÓRIA '!F112</f>
        <v>8.39</v>
      </c>
      <c r="G24" s="109">
        <f t="shared" si="3"/>
        <v>10.09</v>
      </c>
      <c r="H24" s="109">
        <f t="shared" si="4"/>
        <v>12540.44</v>
      </c>
      <c r="I24" s="110">
        <f t="shared" si="5"/>
        <v>15081.42</v>
      </c>
    </row>
    <row r="25" spans="1:9" s="87" customFormat="1" ht="90">
      <c r="A25" s="113" t="s">
        <v>183</v>
      </c>
      <c r="B25" s="168" t="s">
        <v>128</v>
      </c>
      <c r="C25" s="167" t="s">
        <v>129</v>
      </c>
      <c r="D25" s="168" t="s">
        <v>20</v>
      </c>
      <c r="E25" s="112">
        <f>'MEMÓRIA '!E119</f>
        <v>74734.5</v>
      </c>
      <c r="F25" s="112">
        <f>'MEMÓRIA '!F119</f>
        <v>0.41</v>
      </c>
      <c r="G25" s="109">
        <f t="shared" si="3"/>
        <v>0.49</v>
      </c>
      <c r="H25" s="109">
        <f t="shared" si="4"/>
        <v>30641.14</v>
      </c>
      <c r="I25" s="110">
        <f t="shared" si="5"/>
        <v>36619.9</v>
      </c>
    </row>
    <row r="26" spans="1:9" s="115" customFormat="1" ht="30">
      <c r="A26" s="104"/>
      <c r="B26" s="104"/>
      <c r="C26" s="105"/>
      <c r="D26" s="104"/>
      <c r="E26" s="116"/>
      <c r="F26" s="117"/>
      <c r="G26" s="117" t="s">
        <v>24</v>
      </c>
      <c r="H26" s="118">
        <f>SUM(H13:H25)</f>
        <v>867728.58</v>
      </c>
      <c r="I26" s="118">
        <f>SUM(I13:I25)</f>
        <v>1043556.6400000001</v>
      </c>
    </row>
    <row r="27" spans="1:9" s="87" customFormat="1" ht="30">
      <c r="A27" s="125"/>
      <c r="B27" s="126"/>
      <c r="C27" s="125"/>
      <c r="D27" s="127"/>
      <c r="E27" s="122"/>
      <c r="F27" s="122"/>
      <c r="G27" s="124" t="s">
        <v>25</v>
      </c>
      <c r="H27" s="118">
        <f>H26</f>
        <v>867728.58</v>
      </c>
      <c r="I27" s="118">
        <f>I26</f>
        <v>1043556.6400000001</v>
      </c>
    </row>
  </sheetData>
  <sheetProtection/>
  <mergeCells count="13">
    <mergeCell ref="F3:I3"/>
    <mergeCell ref="F4:I4"/>
    <mergeCell ref="F5:I5"/>
    <mergeCell ref="F6:I6"/>
    <mergeCell ref="F7:I7"/>
    <mergeCell ref="F8:I8"/>
    <mergeCell ref="E10:E11"/>
    <mergeCell ref="F10:I10"/>
    <mergeCell ref="A9:I9"/>
    <mergeCell ref="D10:D11"/>
    <mergeCell ref="A10:A11"/>
    <mergeCell ref="B10:B11"/>
    <mergeCell ref="C10:C11"/>
  </mergeCells>
  <printOptions/>
  <pageMargins left="0.984251968503937" right="0.7874015748031497" top="0.7874015748031497" bottom="0.7874015748031497" header="0.31496062992125984" footer="0.31496062992125984"/>
  <pageSetup fitToHeight="1000" fitToWidth="1" horizontalDpi="300" verticalDpi="300" orientation="landscape" paperSize="9" scale="29" r:id="rId2"/>
  <headerFooter>
    <oddFooter>&amp;C&amp;20&amp;A&amp;R&amp;20Página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view="pageBreakPreview" zoomScale="40" zoomScaleNormal="70" zoomScaleSheetLayoutView="40" zoomScalePageLayoutView="0" workbookViewId="0" topLeftCell="A1">
      <selection activeCell="H6" sqref="H6"/>
    </sheetView>
  </sheetViews>
  <sheetFormatPr defaultColWidth="8.8515625" defaultRowHeight="15"/>
  <cols>
    <col min="1" max="1" width="13.421875" style="57" bestFit="1" customWidth="1"/>
    <col min="2" max="2" width="78.28125" style="57" bestFit="1" customWidth="1"/>
    <col min="3" max="3" width="44.57421875" style="57" customWidth="1"/>
    <col min="4" max="4" width="49.7109375" style="57" customWidth="1"/>
    <col min="5" max="5" width="66.00390625" style="57" customWidth="1"/>
    <col min="6" max="6" width="33.00390625" style="54" bestFit="1" customWidth="1"/>
    <col min="7" max="7" width="25.57421875" style="53" customWidth="1"/>
    <col min="8" max="8" width="17.421875" style="58" customWidth="1"/>
    <col min="9" max="16384" width="8.8515625" style="54" customWidth="1"/>
  </cols>
  <sheetData>
    <row r="1" spans="1:6" ht="77.25" customHeight="1">
      <c r="A1" s="254" t="s">
        <v>12</v>
      </c>
      <c r="B1" s="255"/>
      <c r="C1" s="255"/>
      <c r="D1" s="255"/>
      <c r="E1" s="61"/>
      <c r="F1" s="62"/>
    </row>
    <row r="2" spans="1:6" ht="77.25" customHeight="1">
      <c r="A2" s="256" t="s">
        <v>13</v>
      </c>
      <c r="B2" s="257"/>
      <c r="C2" s="257"/>
      <c r="D2" s="257"/>
      <c r="E2" s="63"/>
      <c r="F2" s="62"/>
    </row>
    <row r="3" spans="1:6" ht="77.25" customHeight="1">
      <c r="A3" s="256" t="s">
        <v>54</v>
      </c>
      <c r="B3" s="257"/>
      <c r="C3" s="257"/>
      <c r="D3" s="257"/>
      <c r="E3" s="63"/>
      <c r="F3" s="62"/>
    </row>
    <row r="4" spans="1:6" ht="77.25" customHeight="1">
      <c r="A4" s="258" t="s">
        <v>90</v>
      </c>
      <c r="B4" s="259"/>
      <c r="C4" s="259"/>
      <c r="D4" s="259"/>
      <c r="E4" s="63"/>
      <c r="F4" s="62"/>
    </row>
    <row r="5" spans="1:6" ht="77.25" customHeight="1">
      <c r="A5" s="260" t="s">
        <v>179</v>
      </c>
      <c r="B5" s="261"/>
      <c r="C5" s="261"/>
      <c r="D5" s="261"/>
      <c r="E5" s="63"/>
      <c r="F5" s="62"/>
    </row>
    <row r="6" spans="1:6" ht="77.25" customHeight="1">
      <c r="A6" s="262" t="s">
        <v>39</v>
      </c>
      <c r="B6" s="263"/>
      <c r="C6" s="263"/>
      <c r="D6" s="263"/>
      <c r="E6" s="63"/>
      <c r="F6" s="62"/>
    </row>
    <row r="7" spans="1:6" ht="77.25" customHeight="1">
      <c r="A7" s="242" t="s">
        <v>122</v>
      </c>
      <c r="B7" s="243"/>
      <c r="C7" s="243"/>
      <c r="D7" s="243"/>
      <c r="E7" s="63"/>
      <c r="F7" s="62"/>
    </row>
    <row r="8" spans="1:6" ht="77.25" customHeight="1">
      <c r="A8" s="244" t="s">
        <v>32</v>
      </c>
      <c r="B8" s="245"/>
      <c r="C8" s="245"/>
      <c r="D8" s="245"/>
      <c r="E8" s="64"/>
      <c r="F8" s="62"/>
    </row>
    <row r="9" spans="1:6" ht="77.25" customHeight="1">
      <c r="A9" s="246" t="s">
        <v>40</v>
      </c>
      <c r="B9" s="247"/>
      <c r="C9" s="247"/>
      <c r="D9" s="247"/>
      <c r="E9" s="65"/>
      <c r="F9" s="62"/>
    </row>
    <row r="10" spans="1:8" ht="77.25" customHeight="1">
      <c r="A10" s="248" t="s">
        <v>15</v>
      </c>
      <c r="B10" s="248" t="s">
        <v>41</v>
      </c>
      <c r="C10" s="251" t="s">
        <v>42</v>
      </c>
      <c r="D10" s="252"/>
      <c r="E10" s="66"/>
      <c r="F10" s="62"/>
      <c r="G10" s="55"/>
      <c r="H10" s="60"/>
    </row>
    <row r="11" spans="1:8" ht="77.25" customHeight="1">
      <c r="A11" s="249"/>
      <c r="B11" s="249"/>
      <c r="C11" s="251" t="s">
        <v>43</v>
      </c>
      <c r="D11" s="253"/>
      <c r="E11" s="66" t="s">
        <v>44</v>
      </c>
      <c r="F11" s="62"/>
      <c r="G11" s="55"/>
      <c r="H11" s="60"/>
    </row>
    <row r="12" spans="1:6" ht="77.25" customHeight="1">
      <c r="A12" s="250"/>
      <c r="B12" s="250"/>
      <c r="C12" s="79" t="s">
        <v>45</v>
      </c>
      <c r="D12" s="80" t="s">
        <v>46</v>
      </c>
      <c r="E12" s="66" t="s">
        <v>47</v>
      </c>
      <c r="F12" s="62"/>
    </row>
    <row r="13" spans="1:6" ht="77.25" customHeight="1">
      <c r="A13" s="235"/>
      <c r="B13" s="235"/>
      <c r="C13" s="67"/>
      <c r="D13" s="67"/>
      <c r="E13" s="68"/>
      <c r="F13" s="62"/>
    </row>
    <row r="14" spans="1:7" ht="77.25" customHeight="1">
      <c r="A14" s="69" t="s">
        <v>11</v>
      </c>
      <c r="B14" s="70" t="s">
        <v>91</v>
      </c>
      <c r="C14" s="74">
        <v>1</v>
      </c>
      <c r="D14" s="71">
        <f>C14*E14</f>
        <v>1043556.6400000001</v>
      </c>
      <c r="E14" s="72">
        <f>'PLANILHA TOTAL'!I27</f>
        <v>1043556.6400000001</v>
      </c>
      <c r="F14" s="73">
        <f>D14</f>
        <v>1043556.6400000001</v>
      </c>
      <c r="G14" s="56">
        <f>E14-F14</f>
        <v>0</v>
      </c>
    </row>
    <row r="15" spans="1:6" ht="77.25" customHeight="1">
      <c r="A15" s="132"/>
      <c r="B15" s="133"/>
      <c r="C15" s="134"/>
      <c r="D15" s="135"/>
      <c r="E15" s="136">
        <f>SUM(E14:E14)</f>
        <v>1043556.6400000001</v>
      </c>
      <c r="F15" s="73"/>
    </row>
    <row r="16" spans="1:6" ht="77.25" customHeight="1">
      <c r="A16" s="236" t="s">
        <v>48</v>
      </c>
      <c r="B16" s="237"/>
      <c r="C16" s="238">
        <f>SUM(D14:D14)</f>
        <v>1043556.6400000001</v>
      </c>
      <c r="D16" s="239"/>
      <c r="E16" s="75"/>
      <c r="F16" s="62"/>
    </row>
    <row r="17" spans="1:6" ht="77.25" customHeight="1">
      <c r="A17" s="236" t="s">
        <v>49</v>
      </c>
      <c r="B17" s="237"/>
      <c r="C17" s="240">
        <f>C16</f>
        <v>1043556.6400000001</v>
      </c>
      <c r="D17" s="241"/>
      <c r="E17" s="76"/>
      <c r="F17" s="62"/>
    </row>
    <row r="18" spans="1:6" ht="77.25" customHeight="1">
      <c r="A18" s="231" t="s">
        <v>50</v>
      </c>
      <c r="B18" s="232"/>
      <c r="C18" s="233">
        <f>C16/E15</f>
        <v>1</v>
      </c>
      <c r="D18" s="234"/>
      <c r="E18" s="77"/>
      <c r="F18" s="62"/>
    </row>
    <row r="19" spans="1:6" ht="77.25" customHeight="1">
      <c r="A19" s="231" t="s">
        <v>51</v>
      </c>
      <c r="B19" s="232"/>
      <c r="C19" s="233">
        <f>C18</f>
        <v>1</v>
      </c>
      <c r="D19" s="234"/>
      <c r="E19" s="78"/>
      <c r="F19" s="62"/>
    </row>
    <row r="21" spans="4:5" ht="27">
      <c r="D21" s="59"/>
      <c r="E21" s="137"/>
    </row>
    <row r="22" ht="27">
      <c r="E22" s="137">
        <f>E15-E21</f>
        <v>1043556.6400000001</v>
      </c>
    </row>
  </sheetData>
  <sheetProtection/>
  <mergeCells count="22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A12"/>
    <mergeCell ref="B10:B12"/>
    <mergeCell ref="C10:D10"/>
    <mergeCell ref="C11:D11"/>
    <mergeCell ref="A19:B19"/>
    <mergeCell ref="C19:D19"/>
    <mergeCell ref="A13:B13"/>
    <mergeCell ref="A16:B16"/>
    <mergeCell ref="C16:D16"/>
    <mergeCell ref="A17:B17"/>
    <mergeCell ref="C17:D17"/>
    <mergeCell ref="A18:B18"/>
    <mergeCell ref="C18:D18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2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User</cp:lastModifiedBy>
  <cp:lastPrinted>2020-07-10T20:36:29Z</cp:lastPrinted>
  <dcterms:created xsi:type="dcterms:W3CDTF">2017-11-22T13:14:51Z</dcterms:created>
  <dcterms:modified xsi:type="dcterms:W3CDTF">2020-07-10T20:36:41Z</dcterms:modified>
  <cp:category/>
  <cp:version/>
  <cp:contentType/>
  <cp:contentStatus/>
</cp:coreProperties>
</file>